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ecko2740481\Desktop\hasici\CBA_draft\analýza a prílohy\verzie po calle\štúdia uskutočnoteľnosti AHZS 1B\"/>
    </mc:Choice>
  </mc:AlternateContent>
  <bookViews>
    <workbookView xWindow="290" yWindow="290" windowWidth="18910" windowHeight="6760" tabRatio="802"/>
  </bookViews>
  <sheets>
    <sheet name="fin_analýza" sheetId="22" r:id="rId1"/>
    <sheet name="vstupné údaje" sheetId="20" r:id="rId2"/>
    <sheet name="servis podľa veku_bez scanie" sheetId="18" r:id="rId3"/>
    <sheet name="servis podľa rokov_bez scanie" sheetId="17" r:id="rId4"/>
    <sheet name="prehľad vozidiel" sheetId="23" r:id="rId5"/>
    <sheet name="struktura vyjazdy_analyza dopyt" sheetId="21" r:id="rId6"/>
    <sheet name="bodovací systém" sheetId="27" r:id="rId7"/>
  </sheets>
  <calcPr calcId="162913"/>
</workbook>
</file>

<file path=xl/calcChain.xml><?xml version="1.0" encoding="utf-8"?>
<calcChain xmlns="http://schemas.openxmlformats.org/spreadsheetml/2006/main">
  <c r="B74" i="17" l="1"/>
  <c r="J66" i="27" l="1"/>
  <c r="K66" i="27"/>
  <c r="L66" i="27"/>
  <c r="M66" i="27"/>
  <c r="I66" i="27"/>
  <c r="J65" i="27"/>
  <c r="K65" i="27"/>
  <c r="L65" i="27"/>
  <c r="M65" i="27"/>
  <c r="I65" i="27"/>
  <c r="N4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N32" i="27"/>
  <c r="N33" i="27"/>
  <c r="N34" i="27"/>
  <c r="N35" i="27"/>
  <c r="N36" i="27"/>
  <c r="N37" i="27"/>
  <c r="N38" i="27"/>
  <c r="N39" i="27"/>
  <c r="N40" i="27"/>
  <c r="N41" i="27"/>
  <c r="N42" i="27"/>
  <c r="N43" i="27"/>
  <c r="N44" i="27"/>
  <c r="N45" i="27"/>
  <c r="N46" i="27"/>
  <c r="N47" i="27"/>
  <c r="N48" i="27"/>
  <c r="N49" i="27"/>
  <c r="N50" i="27"/>
  <c r="N51" i="27"/>
  <c r="N52" i="27"/>
  <c r="N53" i="27"/>
  <c r="N54" i="27"/>
  <c r="N55" i="27"/>
  <c r="N56" i="27"/>
  <c r="N57" i="27"/>
  <c r="N58" i="27"/>
  <c r="N59" i="27"/>
  <c r="N60" i="27"/>
  <c r="N61" i="27"/>
  <c r="N62" i="27"/>
  <c r="N63" i="27"/>
  <c r="N64" i="27"/>
  <c r="N3" i="27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3" i="27"/>
  <c r="J45" i="21" l="1"/>
  <c r="F84" i="21"/>
  <c r="G84" i="21"/>
  <c r="I85" i="21"/>
  <c r="B5" i="20" l="1"/>
  <c r="A25" i="20" l="1"/>
  <c r="P25" i="20"/>
  <c r="P26" i="20" s="1"/>
  <c r="O25" i="20"/>
  <c r="O26" i="20" s="1"/>
  <c r="N25" i="20"/>
  <c r="N26" i="20" s="1"/>
  <c r="M25" i="20"/>
  <c r="M26" i="20" s="1"/>
  <c r="L25" i="20"/>
  <c r="L26" i="20" s="1"/>
  <c r="K25" i="20"/>
  <c r="K26" i="20" s="1"/>
  <c r="J25" i="20"/>
  <c r="J26" i="20" s="1"/>
  <c r="I25" i="20"/>
  <c r="I26" i="20" s="1"/>
  <c r="H25" i="20"/>
  <c r="H26" i="20" s="1"/>
  <c r="G25" i="20"/>
  <c r="G26" i="20" s="1"/>
  <c r="F25" i="20"/>
  <c r="F26" i="20" s="1"/>
  <c r="E25" i="20"/>
  <c r="E26" i="20" s="1"/>
  <c r="D25" i="20"/>
  <c r="D26" i="20" s="1"/>
  <c r="C25" i="20"/>
  <c r="C26" i="20" s="1"/>
  <c r="B25" i="20"/>
  <c r="B26" i="20" s="1"/>
  <c r="A26" i="20"/>
  <c r="D20" i="22"/>
  <c r="E4" i="20"/>
  <c r="D12" i="20"/>
  <c r="C74" i="17"/>
  <c r="D74" i="17"/>
  <c r="E74" i="17"/>
  <c r="F74" i="17"/>
  <c r="G74" i="17"/>
  <c r="H74" i="17"/>
  <c r="I74" i="17"/>
  <c r="J74" i="17"/>
  <c r="K74" i="17"/>
  <c r="L74" i="17"/>
  <c r="M74" i="17"/>
  <c r="N74" i="17"/>
  <c r="O74" i="17"/>
  <c r="B22" i="18"/>
  <c r="C100" i="18"/>
  <c r="B100" i="18"/>
  <c r="C59" i="18"/>
  <c r="D59" i="18"/>
  <c r="E59" i="18"/>
  <c r="F59" i="18"/>
  <c r="G59" i="18"/>
  <c r="H59" i="18"/>
  <c r="I59" i="18"/>
  <c r="J59" i="18"/>
  <c r="K59" i="18"/>
  <c r="L59" i="18"/>
  <c r="M59" i="18"/>
  <c r="N59" i="18"/>
  <c r="O59" i="18"/>
  <c r="B59" i="18"/>
  <c r="C22" i="18"/>
  <c r="D22" i="18"/>
  <c r="E22" i="18"/>
  <c r="F22" i="18"/>
  <c r="G22" i="18"/>
  <c r="H22" i="18"/>
  <c r="I22" i="18"/>
  <c r="J22" i="18"/>
  <c r="K22" i="18"/>
  <c r="L22" i="18"/>
  <c r="M22" i="18"/>
  <c r="N22" i="18"/>
  <c r="O22" i="18"/>
  <c r="B83" i="18"/>
  <c r="C83" i="18"/>
  <c r="D83" i="18"/>
  <c r="F83" i="18"/>
  <c r="E83" i="18"/>
  <c r="G83" i="18"/>
  <c r="H83" i="18"/>
  <c r="I83" i="18"/>
  <c r="J83" i="18"/>
  <c r="K83" i="18"/>
  <c r="L83" i="18"/>
  <c r="M83" i="18"/>
  <c r="B91" i="18"/>
  <c r="C91" i="18"/>
  <c r="D91" i="18"/>
  <c r="E91" i="18"/>
  <c r="F91" i="18"/>
  <c r="G91" i="18"/>
  <c r="H91" i="18"/>
  <c r="I91" i="18"/>
  <c r="J91" i="18"/>
  <c r="K91" i="18"/>
  <c r="L91" i="18"/>
  <c r="M91" i="18"/>
  <c r="N91" i="18"/>
  <c r="O91" i="18"/>
  <c r="P91" i="18"/>
  <c r="A91" i="18"/>
  <c r="B90" i="18"/>
  <c r="C90" i="18"/>
  <c r="D90" i="18"/>
  <c r="E90" i="18"/>
  <c r="F90" i="18"/>
  <c r="G90" i="18"/>
  <c r="H90" i="18"/>
  <c r="I90" i="18"/>
  <c r="J90" i="18"/>
  <c r="K90" i="18"/>
  <c r="L90" i="18"/>
  <c r="M90" i="18"/>
  <c r="N90" i="18"/>
  <c r="O90" i="18"/>
  <c r="P90" i="18"/>
  <c r="A90" i="18"/>
  <c r="D32" i="22" l="1"/>
  <c r="C26" i="22"/>
  <c r="B26" i="22" s="1"/>
  <c r="C7" i="20"/>
  <c r="C21" i="22" s="1"/>
  <c r="B21" i="22" s="1"/>
  <c r="C20" i="22"/>
  <c r="B43" i="22" l="1"/>
  <c r="C22" i="22"/>
  <c r="B18" i="20"/>
  <c r="B19" i="20" s="1"/>
  <c r="B20" i="20" s="1"/>
  <c r="D11" i="20" l="1"/>
  <c r="D10" i="22"/>
  <c r="B10" i="22" s="1"/>
  <c r="D5" i="20"/>
  <c r="C5" i="20"/>
  <c r="D11" i="22" l="1"/>
  <c r="B11" i="22" s="1"/>
  <c r="D41" i="22"/>
  <c r="B41" i="22" s="1"/>
  <c r="E26" i="23" l="1"/>
  <c r="E24" i="23"/>
  <c r="E25" i="23" l="1"/>
  <c r="E6" i="23"/>
  <c r="F6" i="23" s="1"/>
  <c r="E5" i="23"/>
  <c r="F5" i="23" s="1"/>
  <c r="E4" i="23"/>
  <c r="F4" i="23" s="1"/>
  <c r="F3" i="23"/>
  <c r="E3" i="23"/>
  <c r="C32" i="22" l="1"/>
  <c r="F32" i="22" l="1"/>
  <c r="B95" i="18" l="1"/>
  <c r="E32" i="22"/>
  <c r="G32" i="22"/>
  <c r="H32" i="22"/>
  <c r="I32" i="22"/>
  <c r="J32" i="22"/>
  <c r="K32" i="22"/>
  <c r="L32" i="22"/>
  <c r="M32" i="22"/>
  <c r="N32" i="22"/>
  <c r="O32" i="22"/>
  <c r="P32" i="22"/>
  <c r="Q32" i="22"/>
  <c r="R32" i="22"/>
  <c r="C65" i="17"/>
  <c r="D65" i="17"/>
  <c r="E65" i="17"/>
  <c r="F65" i="17"/>
  <c r="G65" i="17"/>
  <c r="H65" i="17"/>
  <c r="I65" i="17"/>
  <c r="J65" i="17"/>
  <c r="K65" i="17"/>
  <c r="L65" i="17"/>
  <c r="M65" i="17"/>
  <c r="N65" i="17"/>
  <c r="O65" i="17"/>
  <c r="P65" i="17"/>
  <c r="Q65" i="17"/>
  <c r="B65" i="17"/>
  <c r="B32" i="22" l="1"/>
  <c r="G23" i="21"/>
  <c r="G24" i="21"/>
  <c r="G25" i="21"/>
  <c r="G26" i="21"/>
  <c r="G27" i="21"/>
  <c r="H28" i="21"/>
  <c r="H29" i="21"/>
  <c r="R15" i="22" l="1"/>
  <c r="Q35" i="20" l="1"/>
  <c r="J4" i="21"/>
  <c r="J5" i="21"/>
  <c r="J6" i="21"/>
  <c r="J7" i="21"/>
  <c r="J8" i="21"/>
  <c r="J9" i="21"/>
  <c r="C45" i="21"/>
  <c r="I45" i="21" s="1"/>
  <c r="C44" i="21"/>
  <c r="I44" i="21" s="1"/>
  <c r="C43" i="21"/>
  <c r="I43" i="21" s="1"/>
  <c r="C42" i="21"/>
  <c r="I42" i="21" s="1"/>
  <c r="C41" i="21"/>
  <c r="I41" i="21" s="1"/>
  <c r="C40" i="21"/>
  <c r="I40" i="21" s="1"/>
  <c r="C39" i="21"/>
  <c r="I39" i="21" s="1"/>
  <c r="C38" i="21"/>
  <c r="I38" i="21" s="1"/>
  <c r="C37" i="21"/>
  <c r="I37" i="21" s="1"/>
  <c r="C36" i="21"/>
  <c r="I36" i="21" s="1"/>
  <c r="C35" i="21"/>
  <c r="I35" i="21" s="1"/>
  <c r="C34" i="21"/>
  <c r="I34" i="21" s="1"/>
  <c r="C33" i="21"/>
  <c r="I33" i="21" s="1"/>
  <c r="C32" i="21"/>
  <c r="I32" i="21" s="1"/>
  <c r="C31" i="21"/>
  <c r="I31" i="21" s="1"/>
  <c r="C30" i="21"/>
  <c r="I30" i="21" s="1"/>
  <c r="C29" i="21"/>
  <c r="C28" i="21"/>
  <c r="K45" i="21" l="1"/>
  <c r="R44" i="22" l="1"/>
  <c r="B44" i="22" s="1"/>
  <c r="C72" i="17"/>
  <c r="D72" i="17"/>
  <c r="E72" i="17"/>
  <c r="F72" i="17"/>
  <c r="G72" i="17"/>
  <c r="H72" i="17"/>
  <c r="I72" i="17"/>
  <c r="J72" i="17"/>
  <c r="K72" i="17"/>
  <c r="L72" i="17"/>
  <c r="M72" i="17"/>
  <c r="N72" i="17"/>
  <c r="O72" i="17"/>
  <c r="B72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4" i="17"/>
  <c r="Q5" i="17"/>
  <c r="Q6" i="17"/>
  <c r="Q3" i="17"/>
  <c r="B94" i="18"/>
  <c r="Q100" i="18" l="1"/>
  <c r="P100" i="18"/>
  <c r="E94" i="18"/>
  <c r="D94" i="18"/>
  <c r="C94" i="18"/>
  <c r="R100" i="18"/>
  <c r="D100" i="18"/>
  <c r="N100" i="18"/>
  <c r="N101" i="18" s="1"/>
  <c r="O100" i="18"/>
  <c r="L100" i="18"/>
  <c r="L101" i="18" s="1"/>
  <c r="B101" i="18" l="1"/>
  <c r="D25" i="22"/>
  <c r="F100" i="18"/>
  <c r="F101" i="18" s="1"/>
  <c r="J100" i="18"/>
  <c r="J101" i="18" s="1"/>
  <c r="D101" i="18"/>
  <c r="G100" i="18"/>
  <c r="G101" i="18" s="1"/>
  <c r="P4" i="20"/>
  <c r="H100" i="18"/>
  <c r="H101" i="18" s="1"/>
  <c r="M100" i="18"/>
  <c r="M101" i="18" s="1"/>
  <c r="E100" i="18"/>
  <c r="E101" i="18" s="1"/>
  <c r="K100" i="18"/>
  <c r="K101" i="18" s="1"/>
  <c r="I100" i="18"/>
  <c r="I101" i="18" s="1"/>
  <c r="P27" i="22" l="1"/>
  <c r="P28" i="22" s="1"/>
  <c r="P6" i="20"/>
  <c r="M4" i="20"/>
  <c r="K4" i="20"/>
  <c r="C25" i="22"/>
  <c r="D31" i="22"/>
  <c r="D33" i="22" s="1"/>
  <c r="D42" i="22" s="1"/>
  <c r="D45" i="22" s="1"/>
  <c r="H4" i="20"/>
  <c r="D28" i="22"/>
  <c r="N4" i="20"/>
  <c r="O4" i="20"/>
  <c r="G20" i="22"/>
  <c r="O20" i="22"/>
  <c r="P20" i="22"/>
  <c r="I20" i="22"/>
  <c r="Q20" i="22"/>
  <c r="L20" i="22"/>
  <c r="E20" i="22"/>
  <c r="F20" i="22"/>
  <c r="J20" i="22"/>
  <c r="R20" i="22"/>
  <c r="K20" i="22"/>
  <c r="M20" i="22"/>
  <c r="N20" i="22"/>
  <c r="H20" i="22"/>
  <c r="I4" i="20"/>
  <c r="I6" i="20" s="1"/>
  <c r="L4" i="20"/>
  <c r="L6" i="20" s="1"/>
  <c r="J4" i="20"/>
  <c r="J6" i="20" s="1"/>
  <c r="B20" i="22" l="1"/>
  <c r="B25" i="22"/>
  <c r="C31" i="22"/>
  <c r="C28" i="22"/>
  <c r="D22" i="22"/>
  <c r="M27" i="22"/>
  <c r="M28" i="22" s="1"/>
  <c r="M6" i="20"/>
  <c r="H27" i="22"/>
  <c r="H28" i="22" s="1"/>
  <c r="H6" i="20"/>
  <c r="O27" i="22"/>
  <c r="O28" i="22" s="1"/>
  <c r="O6" i="20"/>
  <c r="N27" i="22"/>
  <c r="N28" i="22" s="1"/>
  <c r="N6" i="20"/>
  <c r="K27" i="22"/>
  <c r="K28" i="22" s="1"/>
  <c r="K6" i="20"/>
  <c r="C33" i="22"/>
  <c r="J27" i="22"/>
  <c r="J28" i="22" s="1"/>
  <c r="I27" i="22"/>
  <c r="I28" i="22" s="1"/>
  <c r="L27" i="22"/>
  <c r="L28" i="22" s="1"/>
  <c r="K22" i="22"/>
  <c r="I22" i="22"/>
  <c r="R22" i="22"/>
  <c r="P22" i="22"/>
  <c r="P31" i="22"/>
  <c r="P33" i="22" s="1"/>
  <c r="P42" i="22" s="1"/>
  <c r="O22" i="22"/>
  <c r="O31" i="22"/>
  <c r="O33" i="22" s="1"/>
  <c r="O42" i="22" s="1"/>
  <c r="F22" i="22"/>
  <c r="G22" i="22"/>
  <c r="J22" i="22"/>
  <c r="H22" i="22"/>
  <c r="L22" i="22"/>
  <c r="N22" i="22"/>
  <c r="M22" i="22"/>
  <c r="Q22" i="22"/>
  <c r="E22" i="22"/>
  <c r="N31" i="22" l="1"/>
  <c r="N33" i="22" s="1"/>
  <c r="N42" i="22" s="1"/>
  <c r="N45" i="22" s="1"/>
  <c r="K31" i="22"/>
  <c r="K33" i="22" s="1"/>
  <c r="K42" i="22" s="1"/>
  <c r="H31" i="22"/>
  <c r="H33" i="22" s="1"/>
  <c r="H42" i="22" s="1"/>
  <c r="C42" i="22"/>
  <c r="B22" i="22"/>
  <c r="M31" i="22"/>
  <c r="M33" i="22" s="1"/>
  <c r="M42" i="22" s="1"/>
  <c r="M45" i="22" s="1"/>
  <c r="J31" i="22"/>
  <c r="J33" i="22" s="1"/>
  <c r="J42" i="22" s="1"/>
  <c r="J45" i="22" s="1"/>
  <c r="K45" i="22"/>
  <c r="P45" i="22"/>
  <c r="O45" i="22"/>
  <c r="L31" i="22"/>
  <c r="L33" i="22" s="1"/>
  <c r="L42" i="22" s="1"/>
  <c r="I31" i="22"/>
  <c r="I33" i="22" s="1"/>
  <c r="I42" i="22" s="1"/>
  <c r="H45" i="22" l="1"/>
  <c r="I45" i="22"/>
  <c r="L45" i="22"/>
  <c r="G4" i="20" l="1"/>
  <c r="G6" i="20" s="1"/>
  <c r="F4" i="20"/>
  <c r="F6" i="20" s="1"/>
  <c r="O101" i="18"/>
  <c r="Q4" i="20" s="1"/>
  <c r="C101" i="18"/>
  <c r="E27" i="22"/>
  <c r="F27" i="22" l="1"/>
  <c r="F31" i="22" s="1"/>
  <c r="F33" i="22" s="1"/>
  <c r="F42" i="22" s="1"/>
  <c r="F45" i="22" s="1"/>
  <c r="Q6" i="20"/>
  <c r="Q27" i="22"/>
  <c r="E28" i="22"/>
  <c r="E31" i="22"/>
  <c r="P101" i="18"/>
  <c r="Q101" i="18" s="1"/>
  <c r="E6" i="20"/>
  <c r="F28" i="22"/>
  <c r="G27" i="22"/>
  <c r="R4" i="20" l="1"/>
  <c r="G31" i="22"/>
  <c r="G33" i="22" s="1"/>
  <c r="G42" i="22" s="1"/>
  <c r="G28" i="22"/>
  <c r="E33" i="22"/>
  <c r="Q28" i="22"/>
  <c r="Q31" i="22"/>
  <c r="Q33" i="22" s="1"/>
  <c r="Q42" i="22" s="1"/>
  <c r="G45" i="22" l="1"/>
  <c r="E42" i="22"/>
  <c r="Q45" i="22"/>
  <c r="R6" i="20"/>
  <c r="R27" i="22"/>
  <c r="E45" i="22" l="1"/>
  <c r="R31" i="22"/>
  <c r="R28" i="22"/>
  <c r="B28" i="22" s="1"/>
  <c r="B27" i="22"/>
  <c r="R33" i="22" l="1"/>
  <c r="B31" i="22"/>
  <c r="R42" i="22" l="1"/>
  <c r="B33" i="22"/>
  <c r="R45" i="22" l="1"/>
  <c r="B48" i="22" s="1"/>
  <c r="B42" i="22"/>
  <c r="B47" i="22" s="1"/>
  <c r="B45" i="22" l="1"/>
</calcChain>
</file>

<file path=xl/sharedStrings.xml><?xml version="1.0" encoding="utf-8"?>
<sst xmlns="http://schemas.openxmlformats.org/spreadsheetml/2006/main" count="413" uniqueCount="190">
  <si>
    <t>Celkový súčet</t>
  </si>
  <si>
    <t>náklady na flotilu (celé roky)</t>
  </si>
  <si>
    <t>počet servisov</t>
  </si>
  <si>
    <t>registrácia 2005</t>
  </si>
  <si>
    <t>r+3</t>
  </si>
  <si>
    <t>r+4</t>
  </si>
  <si>
    <t>r+5</t>
  </si>
  <si>
    <t>r+6</t>
  </si>
  <si>
    <t>r+7</t>
  </si>
  <si>
    <t>r+8</t>
  </si>
  <si>
    <t>r+9</t>
  </si>
  <si>
    <t>r+10</t>
  </si>
  <si>
    <t>r+11</t>
  </si>
  <si>
    <t>r+12</t>
  </si>
  <si>
    <t>r+13</t>
  </si>
  <si>
    <t>r+14</t>
  </si>
  <si>
    <t>r+15</t>
  </si>
  <si>
    <t>r+16</t>
  </si>
  <si>
    <t>r+17</t>
  </si>
  <si>
    <t>registrácia 2008</t>
  </si>
  <si>
    <t>r+0</t>
  </si>
  <si>
    <t>r+1</t>
  </si>
  <si>
    <t>r+2</t>
  </si>
  <si>
    <t>registrácia 2009</t>
  </si>
  <si>
    <t>Inflácia (výbor pre makroprognózy IFP)</t>
  </si>
  <si>
    <t>2022 (prognóza)</t>
  </si>
  <si>
    <t>počet automobilov</t>
  </si>
  <si>
    <t>r+13 neúplné</t>
  </si>
  <si>
    <t>r+14 neúplné</t>
  </si>
  <si>
    <t>r+15 neúplné</t>
  </si>
  <si>
    <t>r+16 neúplné</t>
  </si>
  <si>
    <t>spolu</t>
  </si>
  <si>
    <t>neúplný rok</t>
  </si>
  <si>
    <t>Rok od registrácie</t>
  </si>
  <si>
    <t>Úspora na servisných nákladoch</t>
  </si>
  <si>
    <t>súčasnosť (2022)</t>
  </si>
  <si>
    <t>Vstupné údaje</t>
  </si>
  <si>
    <t>zdroj</t>
  </si>
  <si>
    <t>zdroj 2</t>
  </si>
  <si>
    <t>PHZ</t>
  </si>
  <si>
    <t>Prezídium HaZZ</t>
  </si>
  <si>
    <t>dáta o servise'!m72</t>
  </si>
  <si>
    <t>ID vozidla</t>
  </si>
  <si>
    <t>náklady na servis podľa rokov</t>
  </si>
  <si>
    <t>náklady na servis (pocet rokov od prvej registrácie)</t>
  </si>
  <si>
    <t>doplnené o odhad pre potrey CBA (r 13, r 14)</t>
  </si>
  <si>
    <t>odhad podľa veku vozidla</t>
  </si>
  <si>
    <t>počet automobilov (informácia)</t>
  </si>
  <si>
    <t xml:space="preserve">https://www.mfsr.sk/sk/financie/institut-financnej-politiky/ekonomicke-prognozy/makroekonomicke-prognozy/61-zasadnutie-vyboru-makroekonomicke-prognozy-september-2022.html#collapse-395841664808729543 </t>
  </si>
  <si>
    <t>sumár</t>
  </si>
  <si>
    <t>štruktúra podľa veku_bez scanie'!b101</t>
  </si>
  <si>
    <t>Rok od registrácie (vek)</t>
  </si>
  <si>
    <t>Výjazdy príslušníkov Hasičského a záchranného zboru podľa druhu udalosti</t>
  </si>
  <si>
    <t>Udalosť</t>
  </si>
  <si>
    <t>Počet výjazdov</t>
  </si>
  <si>
    <t>Výjazdy k požiarom spolu</t>
  </si>
  <si>
    <t>Výjazdy k technickej pomoci spolu</t>
  </si>
  <si>
    <t>Výjazdy k nebezpečným látkam spolu</t>
  </si>
  <si>
    <t>Výjazdy k dopravným nehodám spolu</t>
  </si>
  <si>
    <t>Cvičenia</t>
  </si>
  <si>
    <t>Všetky výjazdy spolu</t>
  </si>
  <si>
    <t>skutočnosť - roky poznačené znížením mobility</t>
  </si>
  <si>
    <t>odhad - extrapolácia trendu</t>
  </si>
  <si>
    <t>Rok</t>
  </si>
  <si>
    <t>rok</t>
  </si>
  <si>
    <t>Výjazdy k dopravným nehodám</t>
  </si>
  <si>
    <t>Obdobie</t>
  </si>
  <si>
    <t>prognóza</t>
  </si>
  <si>
    <t>výpočet ISBA</t>
  </si>
  <si>
    <t>Zostatková hodnota</t>
  </si>
  <si>
    <t>Odhadovaná doba životnosti</t>
  </si>
  <si>
    <t>počet rokov</t>
  </si>
  <si>
    <t>Zachránené osoby</t>
  </si>
  <si>
    <t>Z toho počet zranených osôb</t>
  </si>
  <si>
    <t>Nehody:počet zásahov</t>
  </si>
  <si>
    <t>Nehody: počet zachránených osôb</t>
  </si>
  <si>
    <t>https://firecomm.gov.mb.ca/docs/insurance_grading_recognition_used_rebuilt_fireapparatus_mar2010.pdf</t>
  </si>
  <si>
    <t>Zostávajúca životnosť v %</t>
  </si>
  <si>
    <t>servisné náklady</t>
  </si>
  <si>
    <t>Hasičský automobil kategórie 1B</t>
  </si>
  <si>
    <t>Referenčné obdobie v rokoch</t>
  </si>
  <si>
    <t>Zostatková hodnota v €</t>
  </si>
  <si>
    <t>Obdobie prevádzky ako prvovýjazdového vozidla počas referenčného obdobia</t>
  </si>
  <si>
    <t>referenčné obdobie</t>
  </si>
  <si>
    <t>Bez projektu</t>
  </si>
  <si>
    <t>Servisné náklady na súčasnú flotilu</t>
  </si>
  <si>
    <t>Nevyhnutné opravy (2-3 vozidlá na kraj pre zabezpečenie akceschopnosti)</t>
  </si>
  <si>
    <t>Oprava 2-3ks AHZS 1B za každý kraj - zabezpečenie akcieschopnosti, aj v prípade realizácie projektu</t>
  </si>
  <si>
    <t>S projektom</t>
  </si>
  <si>
    <t>Údaj</t>
  </si>
  <si>
    <t>Dodanie vozidiel (predoklad)</t>
  </si>
  <si>
    <t>Inkrementálne</t>
  </si>
  <si>
    <t>Servisné náklady</t>
  </si>
  <si>
    <t>Opravy väčšieho rozsahu</t>
  </si>
  <si>
    <t>1. Úvod</t>
  </si>
  <si>
    <t>3. Zostatková hodnota na základe životnosti infraštruktrálnych prvkov</t>
  </si>
  <si>
    <t>6. Finančná analýza</t>
  </si>
  <si>
    <t>Čisté peňažné toky</t>
  </si>
  <si>
    <t xml:space="preserve">Diskontná sadzba (finančná) </t>
  </si>
  <si>
    <t>Finančná čistá súčasná hodnota investície (FRR_C)</t>
  </si>
  <si>
    <t>Finančné vnútorné výnosové percento investície  (FIRR_C)</t>
  </si>
  <si>
    <t xml:space="preserve">Použitá cenová úroveň </t>
  </si>
  <si>
    <t>Odhad ročných servisných nákladov na zakúpenú techniku</t>
  </si>
  <si>
    <t>spolu diskontované</t>
  </si>
  <si>
    <t>v prevádzke</t>
  </si>
  <si>
    <t>7 ročný priemer</t>
  </si>
  <si>
    <t>výjazdy k dopravným nehodám - skutočnosť</t>
  </si>
  <si>
    <t>počet vozidiel v evidencii - skutočnosť</t>
  </si>
  <si>
    <t>počet vozidiel v evidencii - roky ovplyvnené pandémiou</t>
  </si>
  <si>
    <t>odhad počtu vozidiel - extrapolácia trendu</t>
  </si>
  <si>
    <t>nárast</t>
  </si>
  <si>
    <t>počet MHEV,BEV,PHEV k 31.12.2021</t>
  </si>
  <si>
    <t>typ stancice</t>
  </si>
  <si>
    <t>pocet aut - rozkaz prezidenta HaZZ (normativ na zabezbecenie stanic podla typu)</t>
  </si>
  <si>
    <t>podstav</t>
  </si>
  <si>
    <t>V</t>
  </si>
  <si>
    <t>IV</t>
  </si>
  <si>
    <t>III</t>
  </si>
  <si>
    <t>ii</t>
  </si>
  <si>
    <t>Stredná škola</t>
  </si>
  <si>
    <t>Záchranná brigáda</t>
  </si>
  <si>
    <t>Priemer z najazd v km</t>
  </si>
  <si>
    <t>Priemer z servis v €</t>
  </si>
  <si>
    <t>iii</t>
  </si>
  <si>
    <t>iv</t>
  </si>
  <si>
    <t>v</t>
  </si>
  <si>
    <t>nájazd na rok</t>
  </si>
  <si>
    <t>Uchránené hodnoty podľa HaZZ</t>
  </si>
  <si>
    <t>stále ceny 2023</t>
  </si>
  <si>
    <t>2023 (prognóza)</t>
  </si>
  <si>
    <t>v cenách 2023</t>
  </si>
  <si>
    <t>náklady v cenách 2023 od roku registrácie</t>
  </si>
  <si>
    <t>náklady na flotilu v cenách roku 2023</t>
  </si>
  <si>
    <t>2025 (dodanie automobilov)</t>
  </si>
  <si>
    <t>Odhad ročných servisných nákladov na zakúpenú techniku v € (ceny 2023)</t>
  </si>
  <si>
    <t>Súčasné ročné servisné náklady v € (priemer 2019-2021 v cenách roku 2023)</t>
  </si>
  <si>
    <t>Nevyhnutné opravy (2-3 vozidlá na kraj pre zabezpečenie akceschopnosti) (2 - krát)</t>
  </si>
  <si>
    <t>skutočnosť</t>
  </si>
  <si>
    <t>skutočnosť / prognóza</t>
  </si>
  <si>
    <t>Extrapolácia trendu výjazdov k dopravným nehodám - jednoduchý lineárny model</t>
  </si>
  <si>
    <t>počet zachránených osôb pri dopravných nehodách (HaZZ)</t>
  </si>
  <si>
    <t>vozidlá v evidencii a extrapolácia trendu - jednoduchý lineárny model</t>
  </si>
  <si>
    <t xml:space="preserve">minimálny podiel elektromobilov v evidencii, v prípade 75% podielu novoevidovaných MHEV/PHEV/BEV v priemere za roky 2022-2037 </t>
  </si>
  <si>
    <t>nárast v %</t>
  </si>
  <si>
    <t>Rok výroby</t>
  </si>
  <si>
    <t>Stav</t>
  </si>
  <si>
    <t>rok vyroby</t>
  </si>
  <si>
    <t>Vek vozidla</t>
  </si>
  <si>
    <t>Nájazd (km)</t>
  </si>
  <si>
    <t>Spoľahlivosť</t>
  </si>
  <si>
    <t>Servis (€)</t>
  </si>
  <si>
    <t>Body</t>
  </si>
  <si>
    <t>V prevádzke</t>
  </si>
  <si>
    <t>Dlhodobo mimo prevádzky</t>
  </si>
  <si>
    <t>Počet bodov</t>
  </si>
  <si>
    <t>Menej ako 13 bodov</t>
  </si>
  <si>
    <t>Výborný</t>
  </si>
  <si>
    <t>13 až 17 bodov</t>
  </si>
  <si>
    <t>Dobrý</t>
  </si>
  <si>
    <t>18 až 22 bodov</t>
  </si>
  <si>
    <t>Spĺňa podmienky na výmenu</t>
  </si>
  <si>
    <t>viac ako 22 bodov</t>
  </si>
  <si>
    <t>Vyžaduje okamžitú výmenu</t>
  </si>
  <si>
    <t>ID</t>
  </si>
  <si>
    <t>podiel</t>
  </si>
  <si>
    <t>Najazd v km</t>
  </si>
  <si>
    <t>Servis v €</t>
  </si>
  <si>
    <t>Rok vyroby</t>
  </si>
  <si>
    <t>Podiel na I</t>
  </si>
  <si>
    <t>Typ služby</t>
  </si>
  <si>
    <t>Hodnotenie</t>
  </si>
  <si>
    <t>počet staníc</t>
  </si>
  <si>
    <t>počet AHZS 1B</t>
  </si>
  <si>
    <t>typ stanice</t>
  </si>
  <si>
    <t>celkovo</t>
  </si>
  <si>
    <t>prehľad stavu vozidiel podľa typu staníc</t>
  </si>
  <si>
    <t>prehľad vozidiel podľa typu staníc a normatívu</t>
  </si>
  <si>
    <t>prehľad stavu vozidiel podľa roku výroby</t>
  </si>
  <si>
    <t>4. Prevádzkové náklady</t>
  </si>
  <si>
    <t>2. Investičné náklady</t>
  </si>
  <si>
    <t>Celkové investičné náklady bez DPH (štátny rozpočet)</t>
  </si>
  <si>
    <t>Celkové prevádzkové náklady</t>
  </si>
  <si>
    <t>5. Prevádzkové výnosy</t>
  </si>
  <si>
    <t>Projekt nemá prevádzkové výnosy</t>
  </si>
  <si>
    <t>Investičné náklady</t>
  </si>
  <si>
    <t>Prevádzkové výnosy</t>
  </si>
  <si>
    <t>Prevádzkové náklady</t>
  </si>
  <si>
    <t>Investičné náklady (PHZ) v cenách roku 2022</t>
  </si>
  <si>
    <t>Investičné náklady v cenách roku 2023</t>
  </si>
  <si>
    <t>Celkové inkr. prevádzkové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</si>
</sst>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"/>
    <numFmt numFmtId="166" formatCode="_-* #,##0\ &quot;€&quot;_-;\-* #,##0\ &quot;€&quot;_-;_-* &quot;-&quot;??\ &quot;€&quot;_-;_-@_-"/>
    <numFmt numFmtId="167" formatCode="_-* #,##0.00\ _S_k_-;\-* #,##0.00\ _S_k_-;_-* &quot;-&quot;??\ _S_k_-;_-@_-"/>
    <numFmt numFmtId="168" formatCode="_-* #,##0.00\ _S_k_-;\-* #,##0.00\ _S_k_-;_-* \-??\ _S_k_-;_-@_-"/>
  </numFmts>
  <fonts count="5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Courier"/>
      <family val="1"/>
      <charset val="238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medium">
        <color indexed="64"/>
      </bottom>
      <diagonal/>
    </border>
    <border>
      <left/>
      <right style="medium">
        <color indexed="64"/>
      </right>
      <top style="thin">
        <color theme="4" tint="0.39997558519241921"/>
      </top>
      <bottom style="medium">
        <color indexed="64"/>
      </bottom>
      <diagonal/>
    </border>
  </borders>
  <cellStyleXfs count="137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5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7" fillId="0" borderId="0"/>
    <xf numFmtId="4" fontId="16" fillId="39" borderId="13" applyNumberFormat="0" applyProtection="0">
      <alignment vertical="center"/>
    </xf>
    <xf numFmtId="0" fontId="14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8" fillId="0" borderId="0"/>
    <xf numFmtId="0" fontId="10" fillId="0" borderId="0">
      <alignment vertical="center"/>
    </xf>
    <xf numFmtId="0" fontId="14" fillId="0" borderId="0"/>
    <xf numFmtId="0" fontId="7" fillId="0" borderId="0"/>
    <xf numFmtId="9" fontId="7" fillId="0" borderId="0" applyFont="0" applyFill="0" applyBorder="0" applyAlignment="0" applyProtection="0"/>
    <xf numFmtId="0" fontId="10" fillId="0" borderId="0">
      <alignment vertical="center"/>
    </xf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14" fillId="0" borderId="0"/>
    <xf numFmtId="0" fontId="14" fillId="0" borderId="0"/>
    <xf numFmtId="0" fontId="10" fillId="0" borderId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20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7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3" fillId="0" borderId="0"/>
    <xf numFmtId="9" fontId="13" fillId="0" borderId="0" applyFont="0" applyFill="0" applyBorder="0" applyAlignment="0" applyProtection="0"/>
    <xf numFmtId="0" fontId="14" fillId="0" borderId="0"/>
    <xf numFmtId="0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7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21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" fillId="0" borderId="0"/>
    <xf numFmtId="0" fontId="13" fillId="0" borderId="0"/>
    <xf numFmtId="9" fontId="13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0" fontId="10" fillId="0" borderId="0">
      <alignment vertical="center"/>
    </xf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0" fillId="0" borderId="0">
      <alignment vertical="center"/>
    </xf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>
      <alignment vertical="center"/>
    </xf>
    <xf numFmtId="0" fontId="7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/>
    <xf numFmtId="0" fontId="10" fillId="0" borderId="0"/>
    <xf numFmtId="0" fontId="10" fillId="0" borderId="0">
      <alignment vertical="center"/>
    </xf>
    <xf numFmtId="0" fontId="10" fillId="0" borderId="0" applyNumberFormat="0" applyFont="0" applyFill="0" applyBorder="0" applyAlignment="0" applyProtection="0"/>
    <xf numFmtId="0" fontId="1" fillId="0" borderId="0"/>
    <xf numFmtId="0" fontId="10" fillId="0" borderId="0">
      <alignment vertical="center"/>
    </xf>
    <xf numFmtId="9" fontId="21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4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7" fillId="0" borderId="0"/>
    <xf numFmtId="0" fontId="10" fillId="0" borderId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7" applyNumberFormat="0" applyAlignment="0" applyProtection="0"/>
    <xf numFmtId="0" fontId="30" fillId="12" borderId="8" applyNumberFormat="0" applyAlignment="0" applyProtection="0"/>
    <xf numFmtId="0" fontId="31" fillId="12" borderId="7" applyNumberFormat="0" applyAlignment="0" applyProtection="0"/>
    <xf numFmtId="0" fontId="32" fillId="0" borderId="9" applyNumberFormat="0" applyFill="0" applyAlignment="0" applyProtection="0"/>
    <xf numFmtId="0" fontId="33" fillId="13" borderId="10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7" fillId="14" borderId="11" applyNumberFormat="0" applyFont="0" applyAlignment="0" applyProtection="0"/>
    <xf numFmtId="0" fontId="7" fillId="14" borderId="11" applyNumberFormat="0" applyFont="0" applyAlignment="0" applyProtection="0"/>
    <xf numFmtId="0" fontId="7" fillId="14" borderId="11" applyNumberFormat="0" applyFont="0" applyAlignment="0" applyProtection="0"/>
    <xf numFmtId="0" fontId="7" fillId="14" borderId="11" applyNumberFormat="0" applyFont="0" applyAlignment="0" applyProtection="0"/>
    <xf numFmtId="0" fontId="7" fillId="14" borderId="11" applyNumberFormat="0" applyFont="0" applyAlignment="0" applyProtection="0"/>
    <xf numFmtId="0" fontId="7" fillId="14" borderId="11" applyNumberFormat="0" applyFont="0" applyAlignment="0" applyProtection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0"/>
    <xf numFmtId="0" fontId="38" fillId="0" borderId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>
      <alignment vertical="center"/>
    </xf>
    <xf numFmtId="9" fontId="10" fillId="0" borderId="0" applyFont="0" applyFill="0" applyBorder="0" applyAlignment="0" applyProtection="0"/>
    <xf numFmtId="0" fontId="40" fillId="52" borderId="0" applyNumberFormat="0" applyBorder="0" applyAlignment="0" applyProtection="0"/>
    <xf numFmtId="0" fontId="39" fillId="46" borderId="0" applyNumberFormat="0" applyBorder="0" applyAlignment="0" applyProtection="0"/>
    <xf numFmtId="0" fontId="40" fillId="48" borderId="0" applyNumberFormat="0" applyBorder="0" applyAlignment="0" applyProtection="0"/>
    <xf numFmtId="0" fontId="10" fillId="0" borderId="0"/>
    <xf numFmtId="0" fontId="45" fillId="42" borderId="0" applyNumberFormat="0" applyBorder="0" applyAlignment="0" applyProtection="0"/>
    <xf numFmtId="0" fontId="10" fillId="0" borderId="0"/>
    <xf numFmtId="0" fontId="39" fillId="60" borderId="20" applyNumberFormat="0" applyFont="0" applyAlignment="0" applyProtection="0"/>
    <xf numFmtId="0" fontId="10" fillId="0" borderId="0"/>
    <xf numFmtId="0" fontId="54" fillId="0" borderId="22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43" fillId="59" borderId="15" applyNumberFormat="0" applyAlignment="0" applyProtection="0"/>
    <xf numFmtId="0" fontId="38" fillId="0" borderId="0"/>
    <xf numFmtId="0" fontId="10" fillId="0" borderId="0"/>
    <xf numFmtId="9" fontId="10" fillId="0" borderId="0" applyFont="0" applyFill="0" applyBorder="0" applyAlignment="0" applyProtection="0"/>
    <xf numFmtId="0" fontId="40" fillId="51" borderId="0" applyNumberFormat="0" applyBorder="0" applyAlignment="0" applyProtection="0"/>
    <xf numFmtId="0" fontId="39" fillId="42" borderId="0" applyNumberFormat="0" applyBorder="0" applyAlignment="0" applyProtection="0"/>
    <xf numFmtId="0" fontId="40" fillId="56" borderId="0" applyNumberFormat="0" applyBorder="0" applyAlignment="0" applyProtection="0"/>
    <xf numFmtId="0" fontId="10" fillId="0" borderId="0"/>
    <xf numFmtId="0" fontId="10" fillId="0" borderId="0"/>
    <xf numFmtId="0" fontId="39" fillId="46" borderId="0" applyNumberFormat="0" applyBorder="0" applyAlignment="0" applyProtection="0"/>
    <xf numFmtId="0" fontId="10" fillId="0" borderId="0"/>
    <xf numFmtId="0" fontId="49" fillId="45" borderId="14" applyNumberFormat="0" applyAlignment="0" applyProtection="0"/>
    <xf numFmtId="0" fontId="10" fillId="0" borderId="0"/>
    <xf numFmtId="0" fontId="39" fillId="48" borderId="0" applyNumberFormat="0" applyBorder="0" applyAlignment="0" applyProtection="0"/>
    <xf numFmtId="0" fontId="10" fillId="0" borderId="0"/>
    <xf numFmtId="0" fontId="50" fillId="0" borderId="19" applyNumberFormat="0" applyFill="0" applyAlignment="0" applyProtection="0"/>
    <xf numFmtId="0" fontId="10" fillId="0" borderId="0"/>
    <xf numFmtId="0" fontId="10" fillId="0" borderId="0"/>
    <xf numFmtId="0" fontId="10" fillId="0" borderId="0"/>
    <xf numFmtId="0" fontId="39" fillId="43" borderId="0" applyNumberFormat="0" applyBorder="0" applyAlignment="0" applyProtection="0"/>
    <xf numFmtId="0" fontId="39" fillId="41" borderId="0" applyNumberFormat="0" applyBorder="0" applyAlignment="0" applyProtection="0"/>
    <xf numFmtId="0" fontId="52" fillId="58" borderId="21" applyNumberFormat="0" applyAlignment="0" applyProtection="0"/>
    <xf numFmtId="0" fontId="48" fillId="0" borderId="18" applyNumberFormat="0" applyFill="0" applyAlignment="0" applyProtection="0"/>
    <xf numFmtId="0" fontId="39" fillId="49" borderId="0" applyNumberFormat="0" applyBorder="0" applyAlignment="0" applyProtection="0"/>
    <xf numFmtId="0" fontId="46" fillId="0" borderId="16" applyNumberFormat="0" applyFill="0" applyAlignment="0" applyProtection="0"/>
    <xf numFmtId="0" fontId="39" fillId="47" borderId="0" applyNumberFormat="0" applyBorder="0" applyAlignment="0" applyProtection="0"/>
    <xf numFmtId="0" fontId="10" fillId="0" borderId="0"/>
    <xf numFmtId="0" fontId="40" fillId="54" borderId="0" applyNumberFormat="0" applyBorder="0" applyAlignment="0" applyProtection="0"/>
    <xf numFmtId="0" fontId="42" fillId="58" borderId="14" applyNumberFormat="0" applyAlignment="0" applyProtection="0"/>
    <xf numFmtId="0" fontId="39" fillId="44" borderId="0" applyNumberFormat="0" applyBorder="0" applyAlignment="0" applyProtection="0"/>
    <xf numFmtId="0" fontId="47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0" fillId="47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53" fillId="0" borderId="0" applyNumberFormat="0" applyFill="0" applyBorder="0" applyAlignment="0" applyProtection="0"/>
    <xf numFmtId="0" fontId="40" fillId="57" borderId="0" applyNumberFormat="0" applyBorder="0" applyAlignment="0" applyProtection="0"/>
    <xf numFmtId="0" fontId="10" fillId="0" borderId="0"/>
    <xf numFmtId="0" fontId="39" fillId="43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40" fillId="55" borderId="0" applyNumberFormat="0" applyBorder="0" applyAlignment="0" applyProtection="0"/>
    <xf numFmtId="0" fontId="4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41" borderId="0" applyNumberFormat="0" applyBorder="0" applyAlignment="0" applyProtection="0"/>
    <xf numFmtId="0" fontId="40" fillId="53" borderId="0" applyNumberFormat="0" applyBorder="0" applyAlignment="0" applyProtection="0"/>
    <xf numFmtId="0" fontId="40" fillId="50" borderId="0" applyNumberFormat="0" applyBorder="0" applyAlignment="0" applyProtection="0"/>
    <xf numFmtId="9" fontId="10" fillId="0" borderId="0" applyFont="0" applyFill="0" applyBorder="0" applyAlignment="0" applyProtection="0"/>
    <xf numFmtId="0" fontId="51" fillId="39" borderId="0" applyNumberFormat="0" applyBorder="0" applyAlignment="0" applyProtection="0"/>
    <xf numFmtId="0" fontId="39" fillId="40" borderId="0" applyNumberFormat="0" applyBorder="0" applyAlignment="0" applyProtection="0"/>
    <xf numFmtId="0" fontId="10" fillId="0" borderId="0"/>
    <xf numFmtId="0" fontId="4" fillId="0" borderId="0"/>
    <xf numFmtId="168" fontId="10" fillId="0" borderId="0" applyFill="0" applyBorder="0" applyAlignment="0" applyProtection="0"/>
    <xf numFmtId="0" fontId="13" fillId="0" borderId="0"/>
    <xf numFmtId="0" fontId="10" fillId="0" borderId="0">
      <alignment vertical="center"/>
    </xf>
    <xf numFmtId="167" fontId="10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" fillId="0" borderId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3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/>
    <xf numFmtId="0" fontId="40" fillId="51" borderId="0" applyNumberFormat="0" applyBorder="0" applyAlignment="0" applyProtection="0"/>
    <xf numFmtId="0" fontId="39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6" fillId="0" borderId="0">
      <alignment vertical="center"/>
    </xf>
    <xf numFmtId="9" fontId="10" fillId="0" borderId="0" applyFont="0" applyFill="0" applyBorder="0" applyAlignment="0" applyProtection="0"/>
    <xf numFmtId="0" fontId="13" fillId="0" borderId="0"/>
    <xf numFmtId="9" fontId="4" fillId="0" borderId="0" applyFont="0" applyFill="0" applyBorder="0" applyAlignment="0" applyProtection="0"/>
    <xf numFmtId="0" fontId="38" fillId="0" borderId="0"/>
  </cellStyleXfs>
  <cellXfs count="115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2" borderId="2" xfId="0" applyFont="1" applyFill="1" applyBorder="1" applyAlignment="1">
      <alignment horizontal="left"/>
    </xf>
    <xf numFmtId="44" fontId="0" fillId="0" borderId="0" xfId="1" applyFont="1"/>
    <xf numFmtId="44" fontId="3" fillId="2" borderId="2" xfId="1" applyFont="1" applyFill="1" applyBorder="1"/>
    <xf numFmtId="165" fontId="1" fillId="0" borderId="1" xfId="2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44" fontId="0" fillId="0" borderId="0" xfId="0" applyNumberFormat="1"/>
    <xf numFmtId="0" fontId="0" fillId="3" borderId="0" xfId="0" applyFill="1"/>
    <xf numFmtId="0" fontId="0" fillId="0" borderId="0" xfId="0"/>
    <xf numFmtId="1" fontId="0" fillId="0" borderId="0" xfId="0" applyNumberFormat="1"/>
    <xf numFmtId="0" fontId="5" fillId="0" borderId="0" xfId="4"/>
    <xf numFmtId="0" fontId="5" fillId="0" borderId="0" xfId="4" quotePrefix="1"/>
    <xf numFmtId="0" fontId="3" fillId="3" borderId="0" xfId="0" applyFont="1" applyFill="1"/>
    <xf numFmtId="0" fontId="3" fillId="0" borderId="0" xfId="0" applyFont="1"/>
    <xf numFmtId="9" fontId="0" fillId="0" borderId="0" xfId="3" applyFont="1"/>
    <xf numFmtId="0" fontId="0" fillId="3" borderId="0" xfId="0" applyFill="1" applyAlignment="1">
      <alignment horizontal="right"/>
    </xf>
    <xf numFmtId="0" fontId="2" fillId="3" borderId="0" xfId="0" applyFont="1" applyFill="1"/>
    <xf numFmtId="0" fontId="0" fillId="4" borderId="3" xfId="0" applyFont="1" applyFill="1" applyBorder="1" applyAlignment="1">
      <alignment horizontal="left"/>
    </xf>
    <xf numFmtId="0" fontId="0" fillId="4" borderId="3" xfId="0" applyFont="1" applyFill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4" borderId="3" xfId="0" applyFont="1" applyFill="1" applyBorder="1"/>
    <xf numFmtId="0" fontId="0" fillId="3" borderId="0" xfId="0" applyFont="1" applyFill="1"/>
    <xf numFmtId="44" fontId="3" fillId="0" borderId="0" xfId="1" applyFont="1"/>
    <xf numFmtId="44" fontId="6" fillId="0" borderId="0" xfId="1" applyFont="1"/>
    <xf numFmtId="0" fontId="0" fillId="5" borderId="0" xfId="0" applyFill="1"/>
    <xf numFmtId="0" fontId="3" fillId="6" borderId="3" xfId="0" applyFont="1" applyFill="1" applyBorder="1"/>
    <xf numFmtId="0" fontId="3" fillId="5" borderId="0" xfId="0" applyFont="1" applyFill="1"/>
    <xf numFmtId="0" fontId="3" fillId="3" borderId="0" xfId="0" applyFont="1" applyFill="1" applyAlignment="1">
      <alignment horizontal="left"/>
    </xf>
    <xf numFmtId="44" fontId="0" fillId="5" borderId="0" xfId="0" applyNumberFormat="1" applyFill="1"/>
    <xf numFmtId="0" fontId="8" fillId="0" borderId="0" xfId="0" applyFont="1"/>
    <xf numFmtId="0" fontId="3" fillId="0" borderId="0" xfId="0" applyFont="1" applyFill="1"/>
    <xf numFmtId="0" fontId="0" fillId="0" borderId="0" xfId="0" applyFont="1" applyFill="1"/>
    <xf numFmtId="0" fontId="0" fillId="7" borderId="0" xfId="0" applyFill="1"/>
    <xf numFmtId="44" fontId="3" fillId="0" borderId="0" xfId="0" applyNumberFormat="1" applyFont="1"/>
    <xf numFmtId="0" fontId="0" fillId="0" borderId="0" xfId="0" applyFont="1" applyFill="1" applyAlignment="1">
      <alignment horizontal="right"/>
    </xf>
    <xf numFmtId="0" fontId="9" fillId="0" borderId="0" xfId="0" applyFont="1" applyBorder="1"/>
    <xf numFmtId="9" fontId="9" fillId="0" borderId="0" xfId="0" applyNumberFormat="1" applyFont="1" applyBorder="1" applyAlignment="1">
      <alignment horizontal="center" vertical="center"/>
    </xf>
    <xf numFmtId="9" fontId="0" fillId="0" borderId="0" xfId="0" applyNumberFormat="1"/>
    <xf numFmtId="8" fontId="0" fillId="0" borderId="0" xfId="0" applyNumberFormat="1"/>
    <xf numFmtId="0" fontId="0" fillId="4" borderId="0" xfId="0" applyFont="1" applyFill="1" applyBorder="1"/>
    <xf numFmtId="44" fontId="1" fillId="0" borderId="0" xfId="1" applyFont="1" applyFill="1"/>
    <xf numFmtId="0" fontId="0" fillId="0" borderId="0" xfId="0" applyAlignment="1">
      <alignment horizontal="left" vertical="top" wrapText="1"/>
    </xf>
    <xf numFmtId="166" fontId="0" fillId="0" borderId="0" xfId="1" applyNumberFormat="1" applyFont="1"/>
    <xf numFmtId="0" fontId="0" fillId="0" borderId="0" xfId="0" applyBorder="1"/>
    <xf numFmtId="0" fontId="3" fillId="3" borderId="23" xfId="0" applyFont="1" applyFill="1" applyBorder="1"/>
    <xf numFmtId="0" fontId="3" fillId="3" borderId="24" xfId="0" applyFont="1" applyFill="1" applyBorder="1"/>
    <xf numFmtId="166" fontId="3" fillId="3" borderId="24" xfId="1" applyNumberFormat="1" applyFont="1" applyFill="1" applyBorder="1"/>
    <xf numFmtId="9" fontId="3" fillId="3" borderId="24" xfId="3" applyFont="1" applyFill="1" applyBorder="1"/>
    <xf numFmtId="1" fontId="3" fillId="3" borderId="24" xfId="0" applyNumberFormat="1" applyFont="1" applyFill="1" applyBorder="1"/>
    <xf numFmtId="0" fontId="3" fillId="3" borderId="25" xfId="0" applyFont="1" applyFill="1" applyBorder="1"/>
    <xf numFmtId="0" fontId="0" fillId="0" borderId="26" xfId="0" applyBorder="1"/>
    <xf numFmtId="166" fontId="0" fillId="0" borderId="0" xfId="1" applyNumberFormat="1" applyFont="1" applyBorder="1"/>
    <xf numFmtId="9" fontId="0" fillId="0" borderId="0" xfId="3" applyFont="1" applyBorder="1"/>
    <xf numFmtId="1" fontId="0" fillId="0" borderId="0" xfId="0" applyNumberFormat="1" applyBorder="1"/>
    <xf numFmtId="165" fontId="0" fillId="0" borderId="0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166" fontId="0" fillId="0" borderId="29" xfId="1" applyNumberFormat="1" applyFont="1" applyBorder="1"/>
    <xf numFmtId="9" fontId="0" fillId="0" borderId="29" xfId="3" applyFont="1" applyBorder="1"/>
    <xf numFmtId="1" fontId="0" fillId="0" borderId="29" xfId="0" applyNumberFormat="1" applyBorder="1"/>
    <xf numFmtId="165" fontId="0" fillId="0" borderId="29" xfId="0" applyNumberFormat="1" applyBorder="1"/>
    <xf numFmtId="0" fontId="0" fillId="0" borderId="30" xfId="0" applyBorder="1"/>
    <xf numFmtId="0" fontId="0" fillId="0" borderId="0" xfId="0" applyFont="1"/>
    <xf numFmtId="0" fontId="3" fillId="3" borderId="24" xfId="0" applyFont="1" applyFill="1" applyBorder="1" applyAlignment="1">
      <alignment wrapText="1"/>
    </xf>
    <xf numFmtId="0" fontId="0" fillId="0" borderId="26" xfId="0" applyFont="1" applyBorder="1"/>
    <xf numFmtId="0" fontId="0" fillId="0" borderId="0" xfId="0" applyFont="1" applyBorder="1"/>
    <xf numFmtId="0" fontId="0" fillId="0" borderId="27" xfId="0" applyFont="1" applyBorder="1"/>
    <xf numFmtId="0" fontId="3" fillId="0" borderId="26" xfId="0" applyFont="1" applyBorder="1"/>
    <xf numFmtId="0" fontId="3" fillId="0" borderId="0" xfId="0" applyFont="1" applyBorder="1"/>
    <xf numFmtId="0" fontId="3" fillId="0" borderId="27" xfId="0" applyFont="1" applyBorder="1"/>
    <xf numFmtId="0" fontId="0" fillId="0" borderId="26" xfId="0" applyFont="1" applyBorder="1" applyAlignment="1">
      <alignment horizontal="left" indent="1"/>
    </xf>
    <xf numFmtId="0" fontId="0" fillId="0" borderId="28" xfId="0" applyFont="1" applyBorder="1" applyAlignment="1">
      <alignment horizontal="left" indent="1"/>
    </xf>
    <xf numFmtId="0" fontId="0" fillId="0" borderId="29" xfId="0" applyFont="1" applyBorder="1"/>
    <xf numFmtId="0" fontId="0" fillId="0" borderId="30" xfId="0" applyFont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0" fillId="0" borderId="26" xfId="0" applyFont="1" applyBorder="1" applyAlignment="1">
      <alignment horizontal="left"/>
    </xf>
    <xf numFmtId="2" fontId="0" fillId="0" borderId="0" xfId="0" applyNumberFormat="1" applyFont="1" applyBorder="1"/>
    <xf numFmtId="44" fontId="0" fillId="0" borderId="27" xfId="1" applyNumberFormat="1" applyFont="1" applyBorder="1"/>
    <xf numFmtId="0" fontId="3" fillId="2" borderId="34" xfId="0" applyFont="1" applyFill="1" applyBorder="1" applyAlignment="1">
      <alignment horizontal="left"/>
    </xf>
    <xf numFmtId="2" fontId="3" fillId="2" borderId="35" xfId="0" applyNumberFormat="1" applyFont="1" applyFill="1" applyBorder="1"/>
    <xf numFmtId="44" fontId="3" fillId="2" borderId="36" xfId="0" applyNumberFormat="1" applyFont="1" applyFill="1" applyBorder="1"/>
    <xf numFmtId="0" fontId="3" fillId="2" borderId="25" xfId="0" applyFont="1" applyFill="1" applyBorder="1"/>
    <xf numFmtId="44" fontId="0" fillId="0" borderId="0" xfId="1" applyFont="1" applyBorder="1"/>
    <xf numFmtId="2" fontId="0" fillId="0" borderId="27" xfId="0" applyNumberFormat="1" applyFont="1" applyBorder="1"/>
    <xf numFmtId="44" fontId="3" fillId="2" borderId="35" xfId="1" applyFont="1" applyFill="1" applyBorder="1"/>
    <xf numFmtId="2" fontId="0" fillId="0" borderId="30" xfId="0" applyNumberFormat="1" applyFont="1" applyBorder="1"/>
    <xf numFmtId="0" fontId="0" fillId="3" borderId="26" xfId="0" applyFill="1" applyBorder="1"/>
    <xf numFmtId="0" fontId="0" fillId="3" borderId="0" xfId="0" applyFill="1" applyBorder="1"/>
    <xf numFmtId="0" fontId="0" fillId="0" borderId="0" xfId="0" applyFill="1" applyBorder="1"/>
    <xf numFmtId="0" fontId="0" fillId="0" borderId="27" xfId="0" applyFill="1" applyBorder="1"/>
    <xf numFmtId="0" fontId="0" fillId="3" borderId="27" xfId="0" applyFill="1" applyBorder="1"/>
    <xf numFmtId="0" fontId="0" fillId="3" borderId="24" xfId="0" applyFill="1" applyBorder="1"/>
    <xf numFmtId="0" fontId="0" fillId="3" borderId="25" xfId="0" applyFill="1" applyBorder="1"/>
    <xf numFmtId="1" fontId="0" fillId="0" borderId="26" xfId="5" applyNumberFormat="1" applyFont="1" applyBorder="1" applyAlignment="1">
      <alignment horizontal="right"/>
    </xf>
    <xf numFmtId="1" fontId="0" fillId="0" borderId="0" xfId="5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" fontId="3" fillId="0" borderId="0" xfId="5" applyNumberFormat="1" applyFont="1" applyBorder="1" applyAlignment="1">
      <alignment horizontal="right"/>
    </xf>
    <xf numFmtId="1" fontId="0" fillId="0" borderId="26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28" xfId="0" applyNumberFormat="1" applyBorder="1" applyAlignment="1">
      <alignment horizontal="right"/>
    </xf>
    <xf numFmtId="1" fontId="0" fillId="0" borderId="29" xfId="0" applyNumberFormat="1" applyBorder="1" applyAlignment="1">
      <alignment horizontal="right"/>
    </xf>
    <xf numFmtId="166" fontId="0" fillId="0" borderId="29" xfId="1" applyNumberFormat="1" applyFont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0" fontId="0" fillId="0" borderId="29" xfId="0" applyFill="1" applyBorder="1"/>
    <xf numFmtId="0" fontId="0" fillId="0" borderId="30" xfId="0" applyFill="1" applyBorder="1"/>
    <xf numFmtId="1" fontId="0" fillId="0" borderId="0" xfId="0" applyNumberFormat="1" applyBorder="1" applyAlignment="1"/>
    <xf numFmtId="1" fontId="11" fillId="0" borderId="0" xfId="5" applyNumberFormat="1" applyFont="1" applyBorder="1" applyAlignment="1">
      <alignment horizontal="right"/>
    </xf>
    <xf numFmtId="1" fontId="12" fillId="0" borderId="0" xfId="5" applyNumberFormat="1" applyFont="1" applyBorder="1" applyAlignment="1">
      <alignment horizontal="right"/>
    </xf>
  </cellXfs>
  <cellStyles count="1375">
    <cellStyle name="_x000a_386grabber=S" xfId="14"/>
    <cellStyle name="_x000a_386grabber=S 10" xfId="1089"/>
    <cellStyle name="_x000a_386grabber=S 2" xfId="24"/>
    <cellStyle name="_x000a_386grabber=S 2 2" xfId="65"/>
    <cellStyle name="_x000a_386grabber=S 3" xfId="58"/>
    <cellStyle name="_x000a_386grabber=S 4" xfId="205"/>
    <cellStyle name="_x000a_386grabber=S 5" xfId="243"/>
    <cellStyle name="_x000a_386grabber=S 6" xfId="217"/>
    <cellStyle name="_x000a_386grabber=S 7" xfId="665"/>
    <cellStyle name="_x000a_386grabber=S 8" xfId="671"/>
    <cellStyle name="_x000a_386grabber=S 9" xfId="1091"/>
    <cellStyle name="=D:\WINNT\SYSTEM32\COMMAND.COM" xfId="15"/>
    <cellStyle name="=D:\WINNT\SYSTEM32\COMMAND.COM 10" xfId="1096"/>
    <cellStyle name="=D:\WINNT\SYSTEM32\COMMAND.COM 2" xfId="23"/>
    <cellStyle name="=D:\WINNT\SYSTEM32\COMMAND.COM 2 2" xfId="64"/>
    <cellStyle name="=D:\WINNT\SYSTEM32\COMMAND.COM 3" xfId="59"/>
    <cellStyle name="=D:\WINNT\SYSTEM32\COMMAND.COM 4" xfId="206"/>
    <cellStyle name="=D:\WINNT\SYSTEM32\COMMAND.COM 5" xfId="229"/>
    <cellStyle name="=D:\WINNT\SYSTEM32\COMMAND.COM 6" xfId="204"/>
    <cellStyle name="=D:\WINNT\SYSTEM32\COMMAND.COM 7" xfId="666"/>
    <cellStyle name="=D:\WINNT\SYSTEM32\COMMAND.COM 8" xfId="664"/>
    <cellStyle name="=D:\WINNT\SYSTEM32\COMMAND.COM 9" xfId="1092"/>
    <cellStyle name="20 % - zvýraznenie1 2" xfId="1178"/>
    <cellStyle name="20 % - zvýraznenie2 2" xfId="1182"/>
    <cellStyle name="20 % - zvýraznenie3 2" xfId="1186"/>
    <cellStyle name="20 % - zvýraznenie4 2" xfId="1190"/>
    <cellStyle name="20 % - zvýraznenie5 2" xfId="1194"/>
    <cellStyle name="20 % - zvýraznenie6 2" xfId="1198"/>
    <cellStyle name="20% - Accent1" xfId="1293"/>
    <cellStyle name="20% - Accent2" xfId="1257"/>
    <cellStyle name="20% - Accent3" xfId="1242"/>
    <cellStyle name="20% - Accent4" xfId="1280"/>
    <cellStyle name="20% - Accent5" xfId="1266"/>
    <cellStyle name="20% - Accent6" xfId="1367"/>
    <cellStyle name="40 % - zvýraznenie1 2" xfId="1179"/>
    <cellStyle name="40 % - zvýraznenie2 2" xfId="1183"/>
    <cellStyle name="40 % - zvýraznenie3 2" xfId="1187"/>
    <cellStyle name="40 % - zvýraznenie4 2" xfId="1191"/>
    <cellStyle name="40 % - zvýraznenie5 2" xfId="1195"/>
    <cellStyle name="40 % - zvýraznenie6 2" xfId="1199"/>
    <cellStyle name="40% - Accent1" xfId="1246"/>
    <cellStyle name="40% - Accent2" xfId="1262"/>
    <cellStyle name="40% - Accent3" xfId="1250"/>
    <cellStyle name="40% - Accent4" xfId="1256"/>
    <cellStyle name="40% - Accent5" xfId="1226"/>
    <cellStyle name="40% - Accent6" xfId="1260"/>
    <cellStyle name="60 % - zvýraznenie1 2" xfId="1180"/>
    <cellStyle name="60 % - zvýraznenie2 2" xfId="1184"/>
    <cellStyle name="60 % - zvýraznenie3 2" xfId="1188"/>
    <cellStyle name="60 % - zvýraznenie4 2" xfId="1192"/>
    <cellStyle name="60 % - zvýraznenie5 2" xfId="1196"/>
    <cellStyle name="60 % - zvýraznenie6 2" xfId="1200"/>
    <cellStyle name="60% - Accent1" xfId="1290"/>
    <cellStyle name="60% - Accent2" xfId="1270"/>
    <cellStyle name="60% - Accent3" xfId="1227"/>
    <cellStyle name="60% - Accent4" xfId="1366"/>
    <cellStyle name="60% - Accent5" xfId="1225"/>
    <cellStyle name="60% - Accent6" xfId="1289"/>
    <cellStyle name="Accent1" xfId="1264"/>
    <cellStyle name="Accent2" xfId="1283"/>
    <cellStyle name="Accent3" xfId="1243"/>
    <cellStyle name="Accent4" xfId="1241"/>
    <cellStyle name="Accent5" xfId="1269"/>
    <cellStyle name="Accent6" xfId="1278"/>
    <cellStyle name="Bad" xfId="1288"/>
    <cellStyle name="Calculation" xfId="1265"/>
    <cellStyle name="Comma_gdp" xfId="11"/>
    <cellStyle name="Čiarka" xfId="5" builtinId="3"/>
    <cellStyle name="Čiarka 2" xfId="10"/>
    <cellStyle name="Čiarka 3" xfId="1296"/>
    <cellStyle name="čiarky 2" xfId="34"/>
    <cellStyle name="čiarky 2 10" xfId="1044"/>
    <cellStyle name="čiarky 2 11" xfId="1065"/>
    <cellStyle name="čiarky 2 2" xfId="72"/>
    <cellStyle name="čiarky 2 3" xfId="998"/>
    <cellStyle name="čiarky 2 4" xfId="1066"/>
    <cellStyle name="čiarky 2 5" xfId="1028"/>
    <cellStyle name="čiarky 2 6" xfId="1055"/>
    <cellStyle name="čiarky 2 7" xfId="1010"/>
    <cellStyle name="čiarky 2 8" xfId="1040"/>
    <cellStyle name="čiarky 2 9" xfId="1020"/>
    <cellStyle name="čiarky 3" xfId="56"/>
    <cellStyle name="čiarky 4" xfId="83"/>
    <cellStyle name="čiarky 5" xfId="122"/>
    <cellStyle name="čiarky 6" xfId="1299"/>
    <cellStyle name="Date" xfId="656"/>
    <cellStyle name="Dobrá 2" xfId="1166"/>
    <cellStyle name="Explanatory Text" xfId="1284"/>
    <cellStyle name="Good" xfId="1229"/>
    <cellStyle name="Heading 1" xfId="1261"/>
    <cellStyle name="Heading 2" xfId="1267"/>
    <cellStyle name="Heading 3" xfId="1259"/>
    <cellStyle name="Heading 4" xfId="1268"/>
    <cellStyle name="Hypertextové prepojenie" xfId="4" builtinId="8"/>
    <cellStyle name="Hypertextové prepojenie 2" xfId="20"/>
    <cellStyle name="Check Cell" xfId="1237"/>
    <cellStyle name="Input" xfId="1248"/>
    <cellStyle name="Kontrolná bunka 2" xfId="1173"/>
    <cellStyle name="Linked Cell" xfId="1252"/>
    <cellStyle name="Mena" xfId="1" builtinId="4"/>
    <cellStyle name="Nadpis 1 2" xfId="1162"/>
    <cellStyle name="Nadpis 2 2" xfId="1163"/>
    <cellStyle name="Nadpis 3 2" xfId="1164"/>
    <cellStyle name="Nadpis 4 2" xfId="1165"/>
    <cellStyle name="Neutral" xfId="1292"/>
    <cellStyle name="Neutrálna 2" xfId="1168"/>
    <cellStyle name="Normal 2" xfId="657"/>
    <cellStyle name="Normal_1.1" xfId="194"/>
    <cellStyle name="Normálna" xfId="0" builtinId="0"/>
    <cellStyle name="Normálna 2" xfId="6"/>
    <cellStyle name="Normálna 2 2" xfId="1219"/>
    <cellStyle name="Normálna 2 3" xfId="1238"/>
    <cellStyle name="Normálna 2 4" xfId="9"/>
    <cellStyle name="Normálna 3" xfId="1220"/>
    <cellStyle name="Normálna 4" xfId="1223"/>
    <cellStyle name="Normálna 5" xfId="1370"/>
    <cellStyle name="Normálna 6" xfId="1374"/>
    <cellStyle name="Normálna 7" xfId="2"/>
    <cellStyle name="normálne 10" xfId="42"/>
    <cellStyle name="normálne 10 2" xfId="1276"/>
    <cellStyle name="normálne 11" xfId="55"/>
    <cellStyle name="normálne 11 10" xfId="1039"/>
    <cellStyle name="normálne 11 11" xfId="1026"/>
    <cellStyle name="normálne 11 12" xfId="694"/>
    <cellStyle name="normálne 11 12 2" xfId="1325"/>
    <cellStyle name="normálne 11 13" xfId="1090"/>
    <cellStyle name="normálne 11 13 2" xfId="1351"/>
    <cellStyle name="normálne 11 14" xfId="1107"/>
    <cellStyle name="normálne 11 14 2" xfId="1352"/>
    <cellStyle name="normálne 11 15" xfId="1114"/>
    <cellStyle name="normálne 11 15 2" xfId="1353"/>
    <cellStyle name="normálne 11 16" xfId="1121"/>
    <cellStyle name="normálne 11 16 2" xfId="1354"/>
    <cellStyle name="normálne 11 17" xfId="1128"/>
    <cellStyle name="normálne 11 17 2" xfId="1355"/>
    <cellStyle name="normálne 11 18" xfId="1135"/>
    <cellStyle name="normálne 11 18 2" xfId="1356"/>
    <cellStyle name="normálne 11 19" xfId="1141"/>
    <cellStyle name="normálne 11 19 2" xfId="1357"/>
    <cellStyle name="normálne 11 2" xfId="662"/>
    <cellStyle name="normálne 11 2 2" xfId="693"/>
    <cellStyle name="normálne 11 2 3" xfId="930"/>
    <cellStyle name="normálne 11 2 4" xfId="1321"/>
    <cellStyle name="normálne 11 20" xfId="1147"/>
    <cellStyle name="normálne 11 20 2" xfId="1358"/>
    <cellStyle name="normálne 11 21" xfId="1153"/>
    <cellStyle name="normálne 11 21 2" xfId="1359"/>
    <cellStyle name="normálne 11 22" xfId="1159"/>
    <cellStyle name="normálne 11 22 2" xfId="1360"/>
    <cellStyle name="normálne 11 23" xfId="1232"/>
    <cellStyle name="normálne 11 3" xfId="1004"/>
    <cellStyle name="normálne 11 4" xfId="1011"/>
    <cellStyle name="normálne 11 5" xfId="1054"/>
    <cellStyle name="normálne 11 6" xfId="1034"/>
    <cellStyle name="normálne 11 7" xfId="1060"/>
    <cellStyle name="normálne 11 8" xfId="996"/>
    <cellStyle name="normálne 11 9" xfId="1050"/>
    <cellStyle name="normálne 12" xfId="82"/>
    <cellStyle name="normálne 12 2" xfId="1273"/>
    <cellStyle name="normálne 13" xfId="81"/>
    <cellStyle name="normálne 13 2" xfId="158"/>
    <cellStyle name="normálne 13 2 2" xfId="338"/>
    <cellStyle name="normálne 13 2 3" xfId="475"/>
    <cellStyle name="normálne 13 2 4" xfId="615"/>
    <cellStyle name="normálne 13 2 5" xfId="781"/>
    <cellStyle name="normálne 13 2 6" xfId="884"/>
    <cellStyle name="normálne 13 3" xfId="263"/>
    <cellStyle name="normálne 13 4" xfId="402"/>
    <cellStyle name="normálne 13 5" xfId="544"/>
    <cellStyle name="normálne 13 6" xfId="708"/>
    <cellStyle name="normálne 13 7" xfId="955"/>
    <cellStyle name="normálne 13 8" xfId="1263"/>
    <cellStyle name="normálne 14" xfId="119"/>
    <cellStyle name="normálne 14 2" xfId="193"/>
    <cellStyle name="normálne 14 2 2" xfId="373"/>
    <cellStyle name="normálne 14 2 3" xfId="510"/>
    <cellStyle name="normálne 14 2 4" xfId="650"/>
    <cellStyle name="normálne 14 2 5" xfId="816"/>
    <cellStyle name="normálne 14 2 6" xfId="934"/>
    <cellStyle name="normálne 14 3" xfId="300"/>
    <cellStyle name="normálne 14 4" xfId="438"/>
    <cellStyle name="normálne 14 5" xfId="579"/>
    <cellStyle name="normálne 14 6" xfId="744"/>
    <cellStyle name="normálne 14 7" xfId="862"/>
    <cellStyle name="normálne 14 8" xfId="1253"/>
    <cellStyle name="normálne 15" xfId="121"/>
    <cellStyle name="normálne 15 2" xfId="1230"/>
    <cellStyle name="normálne 16" xfId="120"/>
    <cellStyle name="normálne 16 2" xfId="301"/>
    <cellStyle name="normálne 16 3" xfId="439"/>
    <cellStyle name="normálne 16 4" xfId="580"/>
    <cellStyle name="normálne 16 5" xfId="745"/>
    <cellStyle name="normálne 16 6" xfId="984"/>
    <cellStyle name="normálne 16 7" xfId="1247"/>
    <cellStyle name="normálne 17" xfId="195"/>
    <cellStyle name="normálne 17 2" xfId="374"/>
    <cellStyle name="normálne 17 3" xfId="511"/>
    <cellStyle name="normálne 17 4" xfId="651"/>
    <cellStyle name="normálne 17 5" xfId="817"/>
    <cellStyle name="normálne 17 6" xfId="940"/>
    <cellStyle name="normálne 17 7" xfId="1254"/>
    <cellStyle name="normálne 18" xfId="196"/>
    <cellStyle name="normálne 18 2" xfId="1294"/>
    <cellStyle name="normálne 19" xfId="199"/>
    <cellStyle name="normálne 19 2" xfId="377"/>
    <cellStyle name="normálne 19 2 2" xfId="1312"/>
    <cellStyle name="normálne 19 3" xfId="514"/>
    <cellStyle name="normálne 19 3 2" xfId="1317"/>
    <cellStyle name="normálne 19 4" xfId="653"/>
    <cellStyle name="normálne 19 4 2" xfId="1319"/>
    <cellStyle name="normálne 19 5" xfId="820"/>
    <cellStyle name="normálne 19 5 2" xfId="1326"/>
    <cellStyle name="normálne 19 6" xfId="917"/>
    <cellStyle name="normálne 19 6 2" xfId="1344"/>
    <cellStyle name="normálne 19 7" xfId="1303"/>
    <cellStyle name="normálne 19 8" xfId="1245"/>
    <cellStyle name="normálne 2" xfId="8"/>
    <cellStyle name="normálne 2 10" xfId="987"/>
    <cellStyle name="normálne 2 11" xfId="997"/>
    <cellStyle name="normálne 2 12" xfId="1035"/>
    <cellStyle name="normálne 2 13" xfId="1047"/>
    <cellStyle name="normálne 2 14" xfId="1002"/>
    <cellStyle name="normálne 2 15" xfId="1037"/>
    <cellStyle name="normálne 2 16" xfId="1025"/>
    <cellStyle name="normálne 2 17" xfId="988"/>
    <cellStyle name="normálne 2 18" xfId="1080"/>
    <cellStyle name="normálne 2 19" xfId="1093"/>
    <cellStyle name="normálne 2 2" xfId="21"/>
    <cellStyle name="normálne 2 2 10" xfId="1061"/>
    <cellStyle name="normálne 2 2 11" xfId="1059"/>
    <cellStyle name="normálne 2 2 12" xfId="1046"/>
    <cellStyle name="normálne 2 2 13" xfId="1038"/>
    <cellStyle name="normálne 2 2 14" xfId="1015"/>
    <cellStyle name="normálne 2 2 15" xfId="826"/>
    <cellStyle name="normálne 2 2 2" xfId="62"/>
    <cellStyle name="normálne 2 2 3" xfId="210"/>
    <cellStyle name="normálne 2 2 4" xfId="258"/>
    <cellStyle name="normálne 2 2 5" xfId="386"/>
    <cellStyle name="normálne 2 2 6" xfId="670"/>
    <cellStyle name="normálne 2 2 6 2" xfId="990"/>
    <cellStyle name="normálne 2 2 6 3" xfId="1083"/>
    <cellStyle name="normálne 2 2 7" xfId="989"/>
    <cellStyle name="normálne 2 2 8" xfId="1000"/>
    <cellStyle name="normálne 2 2 9" xfId="1056"/>
    <cellStyle name="normálne 2 20" xfId="1099"/>
    <cellStyle name="normálne 2 21" xfId="1244"/>
    <cellStyle name="normálne 2 22" xfId="19"/>
    <cellStyle name="normálne 2 3" xfId="28"/>
    <cellStyle name="normálne 2 4" xfId="37"/>
    <cellStyle name="normálne 2 4 10" xfId="860"/>
    <cellStyle name="normálne 2 4 2" xfId="51"/>
    <cellStyle name="normálne 2 4 2 2" xfId="103"/>
    <cellStyle name="normálne 2 4 2 2 2" xfId="177"/>
    <cellStyle name="normálne 2 4 2 2 2 2" xfId="357"/>
    <cellStyle name="normálne 2 4 2 2 2 3" xfId="494"/>
    <cellStyle name="normálne 2 4 2 2 2 4" xfId="634"/>
    <cellStyle name="normálne 2 4 2 2 2 5" xfId="800"/>
    <cellStyle name="normálne 2 4 2 2 2 6" xfId="948"/>
    <cellStyle name="normálne 2 4 2 2 3" xfId="284"/>
    <cellStyle name="normálne 2 4 2 2 4" xfId="422"/>
    <cellStyle name="normálne 2 4 2 2 5" xfId="563"/>
    <cellStyle name="normálne 2 4 2 2 6" xfId="728"/>
    <cellStyle name="normálne 2 4 2 2 7" xfId="913"/>
    <cellStyle name="normálne 2 4 2 3" xfId="142"/>
    <cellStyle name="normálne 2 4 2 3 2" xfId="322"/>
    <cellStyle name="normálne 2 4 2 3 3" xfId="459"/>
    <cellStyle name="normálne 2 4 2 3 4" xfId="599"/>
    <cellStyle name="normálne 2 4 2 3 5" xfId="765"/>
    <cellStyle name="normálne 2 4 2 3 6" xfId="898"/>
    <cellStyle name="normálne 2 4 2 4" xfId="237"/>
    <cellStyle name="normálne 2 4 2 5" xfId="382"/>
    <cellStyle name="normálne 2 4 2 6" xfId="528"/>
    <cellStyle name="normálne 2 4 2 7" xfId="689"/>
    <cellStyle name="normálne 2 4 2 8" xfId="952"/>
    <cellStyle name="normálne 2 4 3" xfId="75"/>
    <cellStyle name="normálne 2 4 3 2" xfId="114"/>
    <cellStyle name="normálne 2 4 3 2 2" xfId="188"/>
    <cellStyle name="normálne 2 4 3 2 2 2" xfId="368"/>
    <cellStyle name="normálne 2 4 3 2 2 3" xfId="505"/>
    <cellStyle name="normálne 2 4 3 2 2 4" xfId="645"/>
    <cellStyle name="normálne 2 4 3 2 2 5" xfId="811"/>
    <cellStyle name="normálne 2 4 3 2 2 6" xfId="875"/>
    <cellStyle name="normálne 2 4 3 2 3" xfId="295"/>
    <cellStyle name="normálne 2 4 3 2 4" xfId="433"/>
    <cellStyle name="normálne 2 4 3 2 5" xfId="574"/>
    <cellStyle name="normálne 2 4 3 2 6" xfId="739"/>
    <cellStyle name="normálne 2 4 3 2 7" xfId="970"/>
    <cellStyle name="normálne 2 4 3 3" xfId="153"/>
    <cellStyle name="normálne 2 4 3 3 2" xfId="333"/>
    <cellStyle name="normálne 2 4 3 3 3" xfId="470"/>
    <cellStyle name="normálne 2 4 3 3 4" xfId="610"/>
    <cellStyle name="normálne 2 4 3 3 5" xfId="776"/>
    <cellStyle name="normálne 2 4 3 3 6" xfId="954"/>
    <cellStyle name="normálne 2 4 3 4" xfId="257"/>
    <cellStyle name="normálne 2 4 3 5" xfId="397"/>
    <cellStyle name="normálne 2 4 3 6" xfId="539"/>
    <cellStyle name="normálne 2 4 3 7" xfId="703"/>
    <cellStyle name="normálne 2 4 3 8" xfId="942"/>
    <cellStyle name="normálne 2 4 4" xfId="92"/>
    <cellStyle name="normálne 2 4 4 2" xfId="166"/>
    <cellStyle name="normálne 2 4 4 2 2" xfId="346"/>
    <cellStyle name="normálne 2 4 4 2 3" xfId="483"/>
    <cellStyle name="normálne 2 4 4 2 4" xfId="623"/>
    <cellStyle name="normálne 2 4 4 2 5" xfId="789"/>
    <cellStyle name="normálne 2 4 4 2 6" xfId="901"/>
    <cellStyle name="normálne 2 4 4 3" xfId="273"/>
    <cellStyle name="normálne 2 4 4 4" xfId="411"/>
    <cellStyle name="normálne 2 4 4 5" xfId="552"/>
    <cellStyle name="normálne 2 4 4 6" xfId="717"/>
    <cellStyle name="normálne 2 4 4 7" xfId="869"/>
    <cellStyle name="normálne 2 4 5" xfId="131"/>
    <cellStyle name="normálne 2 4 5 2" xfId="311"/>
    <cellStyle name="normálne 2 4 5 3" xfId="448"/>
    <cellStyle name="normálne 2 4 5 4" xfId="588"/>
    <cellStyle name="normálne 2 4 5 5" xfId="754"/>
    <cellStyle name="normálne 2 4 5 6" xfId="858"/>
    <cellStyle name="normálne 2 4 6" xfId="224"/>
    <cellStyle name="normálne 2 4 7" xfId="203"/>
    <cellStyle name="normálne 2 4 8" xfId="517"/>
    <cellStyle name="normálne 2 4 9" xfId="680"/>
    <cellStyle name="normálne 2 5" xfId="31"/>
    <cellStyle name="normálne 2 5 2" xfId="220"/>
    <cellStyle name="normálne 2 5 2 2" xfId="827"/>
    <cellStyle name="normálne 2 5 2 2 2" xfId="1329"/>
    <cellStyle name="normálne 2 5 2 3" xfId="892"/>
    <cellStyle name="normálne 2 5 2 3 2" xfId="1341"/>
    <cellStyle name="normálne 2 5 2 4" xfId="1307"/>
    <cellStyle name="normálne 2 5 3" xfId="302"/>
    <cellStyle name="normálne 2 5 3 2" xfId="863"/>
    <cellStyle name="normálne 2 5 3 2 2" xfId="1337"/>
    <cellStyle name="normálne 2 5 3 3" xfId="980"/>
    <cellStyle name="normálne 2 5 3 3 2" xfId="1349"/>
    <cellStyle name="normálne 2 5 3 4" xfId="1311"/>
    <cellStyle name="normálne 2 5 4" xfId="388"/>
    <cellStyle name="normálne 2 5 4 2" xfId="891"/>
    <cellStyle name="normálne 2 5 4 2 2" xfId="1340"/>
    <cellStyle name="normálne 2 5 4 3" xfId="975"/>
    <cellStyle name="normálne 2 5 4 3 2" xfId="1348"/>
    <cellStyle name="normálne 2 5 4 4" xfId="1314"/>
    <cellStyle name="normálne 2 5 5" xfId="677"/>
    <cellStyle name="normálne 2 5 5 2" xfId="1323"/>
    <cellStyle name="normálne 2 5 6" xfId="843"/>
    <cellStyle name="normálne 2 5 6 2" xfId="1333"/>
    <cellStyle name="normálne 2 5 7" xfId="1301"/>
    <cellStyle name="normálne 2 6" xfId="45"/>
    <cellStyle name="normálne 2 6 2" xfId="80"/>
    <cellStyle name="normálne 2 6 2 2" xfId="118"/>
    <cellStyle name="normálne 2 6 2 2 2" xfId="192"/>
    <cellStyle name="normálne 2 6 2 2 2 2" xfId="372"/>
    <cellStyle name="normálne 2 6 2 2 2 3" xfId="509"/>
    <cellStyle name="normálne 2 6 2 2 2 4" xfId="649"/>
    <cellStyle name="normálne 2 6 2 2 2 5" xfId="815"/>
    <cellStyle name="normálne 2 6 2 2 2 6" xfId="983"/>
    <cellStyle name="normálne 2 6 2 2 3" xfId="299"/>
    <cellStyle name="normálne 2 6 2 2 4" xfId="437"/>
    <cellStyle name="normálne 2 6 2 2 5" xfId="578"/>
    <cellStyle name="normálne 2 6 2 2 6" xfId="743"/>
    <cellStyle name="normálne 2 6 2 2 7" xfId="908"/>
    <cellStyle name="normálne 2 6 2 3" xfId="157"/>
    <cellStyle name="normálne 2 6 2 3 2" xfId="337"/>
    <cellStyle name="normálne 2 6 2 3 3" xfId="474"/>
    <cellStyle name="normálne 2 6 2 3 4" xfId="614"/>
    <cellStyle name="normálne 2 6 2 3 5" xfId="780"/>
    <cellStyle name="normálne 2 6 2 3 6" xfId="932"/>
    <cellStyle name="normálne 2 6 2 4" xfId="262"/>
    <cellStyle name="normálne 2 6 2 5" xfId="401"/>
    <cellStyle name="normálne 2 6 2 6" xfId="543"/>
    <cellStyle name="normálne 2 6 2 7" xfId="707"/>
    <cellStyle name="normálne 2 6 2 8" xfId="874"/>
    <cellStyle name="normálne 2 6 3" xfId="97"/>
    <cellStyle name="normálne 2 6 3 2" xfId="171"/>
    <cellStyle name="normálne 2 6 3 2 2" xfId="351"/>
    <cellStyle name="normálne 2 6 3 2 3" xfId="488"/>
    <cellStyle name="normálne 2 6 3 2 4" xfId="628"/>
    <cellStyle name="normálne 2 6 3 2 5" xfId="794"/>
    <cellStyle name="normálne 2 6 3 2 6" xfId="935"/>
    <cellStyle name="normálne 2 6 3 3" xfId="278"/>
    <cellStyle name="normálne 2 6 3 4" xfId="416"/>
    <cellStyle name="normálne 2 6 3 5" xfId="557"/>
    <cellStyle name="normálne 2 6 3 6" xfId="722"/>
    <cellStyle name="normálne 2 6 3 7" xfId="929"/>
    <cellStyle name="normálne 2 6 4" xfId="136"/>
    <cellStyle name="normálne 2 6 4 2" xfId="316"/>
    <cellStyle name="normálne 2 6 4 3" xfId="453"/>
    <cellStyle name="normálne 2 6 4 4" xfId="593"/>
    <cellStyle name="normálne 2 6 4 5" xfId="759"/>
    <cellStyle name="normálne 2 6 4 6" xfId="825"/>
    <cellStyle name="normálne 2 6 5" xfId="231"/>
    <cellStyle name="normálne 2 6 6" xfId="212"/>
    <cellStyle name="normálne 2 6 7" xfId="522"/>
    <cellStyle name="normálne 2 6 8" xfId="684"/>
    <cellStyle name="normálne 2 6 9" xfId="887"/>
    <cellStyle name="normálne 2 7" xfId="61"/>
    <cellStyle name="normálne 2 7 2" xfId="108"/>
    <cellStyle name="normálne 2 7 2 2" xfId="182"/>
    <cellStyle name="normálne 2 7 2 2 2" xfId="362"/>
    <cellStyle name="normálne 2 7 2 2 3" xfId="499"/>
    <cellStyle name="normálne 2 7 2 2 4" xfId="639"/>
    <cellStyle name="normálne 2 7 2 2 5" xfId="805"/>
    <cellStyle name="normálne 2 7 2 2 6" xfId="879"/>
    <cellStyle name="normálne 2 7 2 3" xfId="289"/>
    <cellStyle name="normálne 2 7 2 4" xfId="427"/>
    <cellStyle name="normálne 2 7 2 5" xfId="568"/>
    <cellStyle name="normálne 2 7 2 6" xfId="733"/>
    <cellStyle name="normálne 2 7 2 7" xfId="974"/>
    <cellStyle name="normálne 2 7 3" xfId="147"/>
    <cellStyle name="normálne 2 7 3 2" xfId="327"/>
    <cellStyle name="normálne 2 7 3 3" xfId="464"/>
    <cellStyle name="normálne 2 7 3 4" xfId="604"/>
    <cellStyle name="normálne 2 7 3 5" xfId="770"/>
    <cellStyle name="normálne 2 7 3 6" xfId="941"/>
    <cellStyle name="normálne 2 7 4" xfId="246"/>
    <cellStyle name="normálne 2 7 5" xfId="390"/>
    <cellStyle name="normálne 2 7 6" xfId="533"/>
    <cellStyle name="normálne 2 7 7" xfId="696"/>
    <cellStyle name="normálne 2 7 8" xfId="832"/>
    <cellStyle name="normálne 2 8" xfId="86"/>
    <cellStyle name="normálne 2 8 2" xfId="160"/>
    <cellStyle name="normálne 2 8 2 2" xfId="340"/>
    <cellStyle name="normálne 2 8 2 3" xfId="477"/>
    <cellStyle name="normálne 2 8 2 4" xfId="617"/>
    <cellStyle name="normálne 2 8 2 5" xfId="783"/>
    <cellStyle name="normálne 2 8 2 6" xfId="840"/>
    <cellStyle name="normálne 2 8 3" xfId="267"/>
    <cellStyle name="normálne 2 8 4" xfId="405"/>
    <cellStyle name="normálne 2 8 5" xfId="546"/>
    <cellStyle name="normálne 2 8 6" xfId="711"/>
    <cellStyle name="normálne 2 8 7" xfId="885"/>
    <cellStyle name="normálne 2 9" xfId="125"/>
    <cellStyle name="normálne 2 9 2" xfId="305"/>
    <cellStyle name="normálne 2 9 3" xfId="442"/>
    <cellStyle name="normálne 2 9 4" xfId="582"/>
    <cellStyle name="normálne 2 9 5" xfId="748"/>
    <cellStyle name="normálne 2 9 6" xfId="837"/>
    <cellStyle name="normálne 20" xfId="201"/>
    <cellStyle name="normálne 20 2" xfId="1305"/>
    <cellStyle name="normálne 20 3" xfId="1255"/>
    <cellStyle name="normálne 21" xfId="202"/>
    <cellStyle name="normálne 21 2" xfId="1234"/>
    <cellStyle name="normálne 22" xfId="209"/>
    <cellStyle name="normálne 22 2" xfId="1279"/>
    <cellStyle name="normálne 23" xfId="241"/>
    <cellStyle name="normálne 23 2" xfId="1236"/>
    <cellStyle name="normálne 24" xfId="655"/>
    <cellStyle name="normálne 24 2" xfId="701"/>
    <cellStyle name="normálne 24 3" xfId="924"/>
    <cellStyle name="normálne 24 4" xfId="1235"/>
    <cellStyle name="normálne 25" xfId="986"/>
    <cellStyle name="normálne 25 2" xfId="1249"/>
    <cellStyle name="normálne 26" xfId="1024"/>
    <cellStyle name="normálne 26 2" xfId="1281"/>
    <cellStyle name="normálne 27" xfId="1003"/>
    <cellStyle name="normálne 27 2" xfId="1228"/>
    <cellStyle name="normálne 28" xfId="1017"/>
    <cellStyle name="normálne 29" xfId="1021"/>
    <cellStyle name="normálne 3" xfId="25"/>
    <cellStyle name="normálne 3 10" xfId="403"/>
    <cellStyle name="normálne 3 11" xfId="658"/>
    <cellStyle name="normálne 3 11 2" xfId="992"/>
    <cellStyle name="normálne 3 11 3" xfId="1085"/>
    <cellStyle name="normálne 3 12" xfId="1013"/>
    <cellStyle name="normálne 3 13" xfId="1058"/>
    <cellStyle name="normálne 3 14" xfId="1073"/>
    <cellStyle name="normálne 3 15" xfId="1007"/>
    <cellStyle name="normálne 3 16" xfId="1048"/>
    <cellStyle name="normálne 3 17" xfId="1070"/>
    <cellStyle name="normálne 3 18" xfId="1012"/>
    <cellStyle name="normálne 3 19" xfId="1014"/>
    <cellStyle name="normálne 3 2" xfId="39"/>
    <cellStyle name="normálne 3 2 10" xfId="852"/>
    <cellStyle name="normálne 3 2 2" xfId="52"/>
    <cellStyle name="normálne 3 2 2 2" xfId="104"/>
    <cellStyle name="normálne 3 2 2 2 2" xfId="178"/>
    <cellStyle name="normálne 3 2 2 2 2 2" xfId="358"/>
    <cellStyle name="normálne 3 2 2 2 2 3" xfId="495"/>
    <cellStyle name="normálne 3 2 2 2 2 4" xfId="635"/>
    <cellStyle name="normálne 3 2 2 2 2 5" xfId="801"/>
    <cellStyle name="normálne 3 2 2 2 2 6" xfId="899"/>
    <cellStyle name="normálne 3 2 2 2 3" xfId="285"/>
    <cellStyle name="normálne 3 2 2 2 4" xfId="423"/>
    <cellStyle name="normálne 3 2 2 2 5" xfId="564"/>
    <cellStyle name="normálne 3 2 2 2 6" xfId="729"/>
    <cellStyle name="normálne 3 2 2 2 7" xfId="867"/>
    <cellStyle name="normálne 3 2 2 3" xfId="143"/>
    <cellStyle name="normálne 3 2 2 3 2" xfId="323"/>
    <cellStyle name="normálne 3 2 2 3 3" xfId="460"/>
    <cellStyle name="normálne 3 2 2 3 4" xfId="600"/>
    <cellStyle name="normálne 3 2 2 3 5" xfId="766"/>
    <cellStyle name="normálne 3 2 2 3 6" xfId="850"/>
    <cellStyle name="normálne 3 2 2 4" xfId="238"/>
    <cellStyle name="normálne 3 2 2 5" xfId="383"/>
    <cellStyle name="normálne 3 2 2 6" xfId="529"/>
    <cellStyle name="normálne 3 2 2 7" xfId="690"/>
    <cellStyle name="normálne 3 2 2 8" xfId="903"/>
    <cellStyle name="normálne 3 2 3" xfId="77"/>
    <cellStyle name="normálne 3 2 3 2" xfId="115"/>
    <cellStyle name="normálne 3 2 3 2 2" xfId="189"/>
    <cellStyle name="normálne 3 2 3 2 2 2" xfId="369"/>
    <cellStyle name="normálne 3 2 3 2 2 3" xfId="506"/>
    <cellStyle name="normálne 3 2 3 2 2 4" xfId="646"/>
    <cellStyle name="normálne 3 2 3 2 2 5" xfId="812"/>
    <cellStyle name="normálne 3 2 3 2 2 6" xfId="956"/>
    <cellStyle name="normálne 3 2 3 2 3" xfId="296"/>
    <cellStyle name="normálne 3 2 3 2 4" xfId="434"/>
    <cellStyle name="normálne 3 2 3 2 5" xfId="575"/>
    <cellStyle name="normálne 3 2 3 2 6" xfId="740"/>
    <cellStyle name="normálne 3 2 3 2 7" xfId="922"/>
    <cellStyle name="normálne 3 2 3 3" xfId="154"/>
    <cellStyle name="normálne 3 2 3 3 2" xfId="334"/>
    <cellStyle name="normálne 3 2 3 3 3" xfId="471"/>
    <cellStyle name="normálne 3 2 3 3 4" xfId="611"/>
    <cellStyle name="normálne 3 2 3 3 5" xfId="777"/>
    <cellStyle name="normálne 3 2 3 3 6" xfId="905"/>
    <cellStyle name="normálne 3 2 3 4" xfId="259"/>
    <cellStyle name="normálne 3 2 3 5" xfId="398"/>
    <cellStyle name="normálne 3 2 3 6" xfId="540"/>
    <cellStyle name="normálne 3 2 3 7" xfId="704"/>
    <cellStyle name="normálne 3 2 3 8" xfId="842"/>
    <cellStyle name="normálne 3 2 4" xfId="93"/>
    <cellStyle name="normálne 3 2 4 2" xfId="167"/>
    <cellStyle name="normálne 3 2 4 2 2" xfId="347"/>
    <cellStyle name="normálne 3 2 4 2 3" xfId="484"/>
    <cellStyle name="normálne 3 2 4 2 4" xfId="624"/>
    <cellStyle name="normálne 3 2 4 2 5" xfId="790"/>
    <cellStyle name="normálne 3 2 4 2 6" xfId="855"/>
    <cellStyle name="normálne 3 2 4 3" xfId="274"/>
    <cellStyle name="normálne 3 2 4 4" xfId="412"/>
    <cellStyle name="normálne 3 2 4 5" xfId="553"/>
    <cellStyle name="normálne 3 2 4 6" xfId="718"/>
    <cellStyle name="normálne 3 2 4 7" xfId="951"/>
    <cellStyle name="normálne 3 2 5" xfId="132"/>
    <cellStyle name="normálne 3 2 5 2" xfId="312"/>
    <cellStyle name="normálne 3 2 5 3" xfId="449"/>
    <cellStyle name="normálne 3 2 5 4" xfId="589"/>
    <cellStyle name="normálne 3 2 5 5" xfId="755"/>
    <cellStyle name="normálne 3 2 5 6" xfId="979"/>
    <cellStyle name="normálne 3 2 6" xfId="225"/>
    <cellStyle name="normálne 3 2 7" xfId="303"/>
    <cellStyle name="normálne 3 2 8" xfId="518"/>
    <cellStyle name="normálne 3 2 9" xfId="672"/>
    <cellStyle name="normálne 3 20" xfId="886"/>
    <cellStyle name="normálne 3 21" xfId="1094"/>
    <cellStyle name="normálne 3 22" xfId="1103"/>
    <cellStyle name="normálne 3 23" xfId="1110"/>
    <cellStyle name="normálne 3 24" xfId="1117"/>
    <cellStyle name="normálne 3 25" xfId="1124"/>
    <cellStyle name="normálne 3 26" xfId="1131"/>
    <cellStyle name="normálne 3 27" xfId="1137"/>
    <cellStyle name="normálne 3 28" xfId="1143"/>
    <cellStyle name="normálne 3 29" xfId="1149"/>
    <cellStyle name="normálne 3 3" xfId="46"/>
    <cellStyle name="normálne 3 3 2" xfId="98"/>
    <cellStyle name="normálne 3 3 2 2" xfId="172"/>
    <cellStyle name="normálne 3 3 2 2 2" xfId="352"/>
    <cellStyle name="normálne 3 3 2 2 3" xfId="489"/>
    <cellStyle name="normálne 3 3 2 2 4" xfId="629"/>
    <cellStyle name="normálne 3 3 2 2 5" xfId="795"/>
    <cellStyle name="normálne 3 3 2 2 6" xfId="849"/>
    <cellStyle name="normálne 3 3 2 3" xfId="279"/>
    <cellStyle name="normálne 3 3 2 4" xfId="417"/>
    <cellStyle name="normálne 3 3 2 5" xfId="558"/>
    <cellStyle name="normálne 3 3 2 6" xfId="723"/>
    <cellStyle name="normálne 3 3 2 7" xfId="882"/>
    <cellStyle name="normálne 3 3 3" xfId="137"/>
    <cellStyle name="normálne 3 3 3 2" xfId="317"/>
    <cellStyle name="normálne 3 3 3 3" xfId="454"/>
    <cellStyle name="normálne 3 3 3 4" xfId="594"/>
    <cellStyle name="normálne 3 3 3 5" xfId="760"/>
    <cellStyle name="normálne 3 3 3 6" xfId="824"/>
    <cellStyle name="normálne 3 3 4" xfId="232"/>
    <cellStyle name="normálne 3 3 5" xfId="244"/>
    <cellStyle name="normálne 3 3 6" xfId="523"/>
    <cellStyle name="normálne 3 3 7" xfId="685"/>
    <cellStyle name="normálne 3 3 8" xfId="835"/>
    <cellStyle name="normálne 3 30" xfId="1155"/>
    <cellStyle name="normálne 3 4" xfId="66"/>
    <cellStyle name="normálne 3 4 2" xfId="109"/>
    <cellStyle name="normálne 3 4 2 2" xfId="183"/>
    <cellStyle name="normálne 3 4 2 2 2" xfId="363"/>
    <cellStyle name="normálne 3 4 2 2 3" xfId="500"/>
    <cellStyle name="normálne 3 4 2 2 4" xfId="640"/>
    <cellStyle name="normálne 3 4 2 2 5" xfId="806"/>
    <cellStyle name="normálne 3 4 2 2 6" xfId="943"/>
    <cellStyle name="normálne 3 4 2 3" xfId="290"/>
    <cellStyle name="normálne 3 4 2 4" xfId="428"/>
    <cellStyle name="normálne 3 4 2 5" xfId="569"/>
    <cellStyle name="normálne 3 4 2 6" xfId="734"/>
    <cellStyle name="normálne 3 4 2 7" xfId="927"/>
    <cellStyle name="normálne 3 4 3" xfId="148"/>
    <cellStyle name="normálne 3 4 3 2" xfId="328"/>
    <cellStyle name="normálne 3 4 3 3" xfId="465"/>
    <cellStyle name="normálne 3 4 3 4" xfId="605"/>
    <cellStyle name="normálne 3 4 3 5" xfId="771"/>
    <cellStyle name="normálne 3 4 3 6" xfId="894"/>
    <cellStyle name="normálne 3 4 4" xfId="249"/>
    <cellStyle name="normálne 3 4 5" xfId="392"/>
    <cellStyle name="normálne 3 4 6" xfId="534"/>
    <cellStyle name="normálne 3 4 7" xfId="697"/>
    <cellStyle name="normálne 3 4 8" xfId="911"/>
    <cellStyle name="normálne 3 5" xfId="87"/>
    <cellStyle name="normálne 3 5 2" xfId="161"/>
    <cellStyle name="normálne 3 5 2 2" xfId="341"/>
    <cellStyle name="normálne 3 5 2 3" xfId="478"/>
    <cellStyle name="normálne 3 5 2 4" xfId="618"/>
    <cellStyle name="normálne 3 5 2 5" xfId="784"/>
    <cellStyle name="normálne 3 5 2 6" xfId="833"/>
    <cellStyle name="normálne 3 5 3" xfId="268"/>
    <cellStyle name="normálne 3 5 4" xfId="406"/>
    <cellStyle name="normálne 3 5 5" xfId="547"/>
    <cellStyle name="normálne 3 5 6" xfId="712"/>
    <cellStyle name="normálne 3 5 7" xfId="938"/>
    <cellStyle name="normálne 3 6" xfId="126"/>
    <cellStyle name="normálne 3 6 2" xfId="306"/>
    <cellStyle name="normálne 3 6 3" xfId="443"/>
    <cellStyle name="normálne 3 6 4" xfId="583"/>
    <cellStyle name="normálne 3 6 5" xfId="749"/>
    <cellStyle name="normálne 3 6 6" xfId="964"/>
    <cellStyle name="normálne 3 7" xfId="197"/>
    <cellStyle name="normálne 3 7 2" xfId="376"/>
    <cellStyle name="normálne 3 7 3" xfId="513"/>
    <cellStyle name="normálne 3 7 4" xfId="652"/>
    <cellStyle name="normálne 3 7 5" xfId="818"/>
    <cellStyle name="normálne 3 7 6" xfId="836"/>
    <cellStyle name="normálne 3 8" xfId="214"/>
    <cellStyle name="normálne 3 9" xfId="252"/>
    <cellStyle name="normálne 30" xfId="1082"/>
    <cellStyle name="normálne 31" xfId="1009"/>
    <cellStyle name="normálne 32" xfId="1074"/>
    <cellStyle name="normálne 33" xfId="16"/>
    <cellStyle name="normálne 33 10" xfId="667"/>
    <cellStyle name="normálne 33 11" xfId="681"/>
    <cellStyle name="normálne 33 2" xfId="36"/>
    <cellStyle name="normálne 33 2 10" xfId="906"/>
    <cellStyle name="normálne 33 2 2" xfId="50"/>
    <cellStyle name="normálne 33 2 2 2" xfId="102"/>
    <cellStyle name="normálne 33 2 2 2 2" xfId="176"/>
    <cellStyle name="normálne 33 2 2 2 2 2" xfId="356"/>
    <cellStyle name="normálne 33 2 2 2 2 3" xfId="493"/>
    <cellStyle name="normálne 33 2 2 2 2 4" xfId="633"/>
    <cellStyle name="normálne 33 2 2 2 2 5" xfId="799"/>
    <cellStyle name="normálne 33 2 2 2 2 6" xfId="866"/>
    <cellStyle name="normálne 33 2 2 2 3" xfId="283"/>
    <cellStyle name="normálne 33 2 2 2 4" xfId="421"/>
    <cellStyle name="normálne 33 2 2 2 5" xfId="562"/>
    <cellStyle name="normálne 33 2 2 2 6" xfId="727"/>
    <cellStyle name="normálne 33 2 2 2 7" xfId="960"/>
    <cellStyle name="normálne 33 2 2 3" xfId="141"/>
    <cellStyle name="normálne 33 2 2 3 2" xfId="321"/>
    <cellStyle name="normálne 33 2 2 3 3" xfId="458"/>
    <cellStyle name="normálne 33 2 2 3 4" xfId="598"/>
    <cellStyle name="normálne 33 2 2 3 5" xfId="764"/>
    <cellStyle name="normálne 33 2 2 3 6" xfId="946"/>
    <cellStyle name="normálne 33 2 2 4" xfId="236"/>
    <cellStyle name="normálne 33 2 2 5" xfId="381"/>
    <cellStyle name="normálne 33 2 2 6" xfId="527"/>
    <cellStyle name="normálne 33 2 2 7" xfId="688"/>
    <cellStyle name="normálne 33 2 2 8" xfId="870"/>
    <cellStyle name="normálne 33 2 3" xfId="74"/>
    <cellStyle name="normálne 33 2 3 2" xfId="113"/>
    <cellStyle name="normálne 33 2 3 2 2" xfId="187"/>
    <cellStyle name="normálne 33 2 3 2 2 2" xfId="367"/>
    <cellStyle name="normálne 33 2 3 2 2 3" xfId="504"/>
    <cellStyle name="normálne 33 2 3 2 2 4" xfId="644"/>
    <cellStyle name="normálne 33 2 3 2 2 5" xfId="810"/>
    <cellStyle name="normálne 33 2 3 2 2 6" xfId="921"/>
    <cellStyle name="normálne 33 2 3 2 3" xfId="294"/>
    <cellStyle name="normálne 33 2 3 2 4" xfId="432"/>
    <cellStyle name="normálne 33 2 3 2 5" xfId="573"/>
    <cellStyle name="normálne 33 2 3 2 6" xfId="738"/>
    <cellStyle name="normálne 33 2 3 2 7" xfId="847"/>
    <cellStyle name="normálne 33 2 3 3" xfId="152"/>
    <cellStyle name="normálne 33 2 3 3 2" xfId="332"/>
    <cellStyle name="normálne 33 2 3 3 3" xfId="469"/>
    <cellStyle name="normálne 33 2 3 3 4" xfId="609"/>
    <cellStyle name="normálne 33 2 3 3 5" xfId="775"/>
    <cellStyle name="normálne 33 2 3 3 6" xfId="873"/>
    <cellStyle name="normálne 33 2 3 4" xfId="256"/>
    <cellStyle name="normálne 33 2 3 5" xfId="396"/>
    <cellStyle name="normálne 33 2 3 6" xfId="538"/>
    <cellStyle name="normálne 33 2 3 7" xfId="702"/>
    <cellStyle name="normálne 33 2 3 8" xfId="878"/>
    <cellStyle name="normálne 33 2 4" xfId="91"/>
    <cellStyle name="normálne 33 2 4 2" xfId="165"/>
    <cellStyle name="normálne 33 2 4 2 2" xfId="345"/>
    <cellStyle name="normálne 33 2 4 2 3" xfId="482"/>
    <cellStyle name="normálne 33 2 4 2 4" xfId="622"/>
    <cellStyle name="normálne 33 2 4 2 5" xfId="788"/>
    <cellStyle name="normálne 33 2 4 2 6" xfId="950"/>
    <cellStyle name="normálne 33 2 4 3" xfId="272"/>
    <cellStyle name="normálne 33 2 4 4" xfId="410"/>
    <cellStyle name="normálne 33 2 4 5" xfId="551"/>
    <cellStyle name="normálne 33 2 4 6" xfId="716"/>
    <cellStyle name="normálne 33 2 4 7" xfId="915"/>
    <cellStyle name="normálne 33 2 5" xfId="130"/>
    <cellStyle name="normálne 33 2 5 2" xfId="310"/>
    <cellStyle name="normálne 33 2 5 3" xfId="447"/>
    <cellStyle name="normálne 33 2 5 4" xfId="587"/>
    <cellStyle name="normálne 33 2 5 5" xfId="753"/>
    <cellStyle name="normálne 33 2 5 6" xfId="904"/>
    <cellStyle name="normálne 33 2 6" xfId="223"/>
    <cellStyle name="normálne 33 2 7" xfId="211"/>
    <cellStyle name="normálne 33 2 8" xfId="516"/>
    <cellStyle name="normálne 33 2 9" xfId="679"/>
    <cellStyle name="normálne 33 3" xfId="44"/>
    <cellStyle name="normálne 33 3 2" xfId="96"/>
    <cellStyle name="normálne 33 3 2 2" xfId="170"/>
    <cellStyle name="normálne 33 3 2 2 2" xfId="350"/>
    <cellStyle name="normálne 33 3 2 2 3" xfId="487"/>
    <cellStyle name="normálne 33 3 2 2 4" xfId="627"/>
    <cellStyle name="normálne 33 3 2 2 5" xfId="793"/>
    <cellStyle name="normálne 33 3 2 2 6" xfId="881"/>
    <cellStyle name="normálne 33 3 2 3" xfId="277"/>
    <cellStyle name="normálne 33 3 2 4" xfId="415"/>
    <cellStyle name="normálne 33 3 2 5" xfId="556"/>
    <cellStyle name="normálne 33 3 2 6" xfId="721"/>
    <cellStyle name="normálne 33 3 2 7" xfId="977"/>
    <cellStyle name="normálne 33 3 3" xfId="135"/>
    <cellStyle name="normálne 33 3 3 2" xfId="315"/>
    <cellStyle name="normálne 33 3 3 3" xfId="452"/>
    <cellStyle name="normálne 33 3 3 4" xfId="592"/>
    <cellStyle name="normálne 33 3 3 5" xfId="758"/>
    <cellStyle name="normálne 33 3 3 6" xfId="890"/>
    <cellStyle name="normálne 33 3 4" xfId="230"/>
    <cellStyle name="normálne 33 3 5" xfId="247"/>
    <cellStyle name="normálne 33 3 6" xfId="521"/>
    <cellStyle name="normálne 33 3 7" xfId="683"/>
    <cellStyle name="normálne 33 3 8" xfId="939"/>
    <cellStyle name="normálne 33 4" xfId="60"/>
    <cellStyle name="normálne 33 4 2" xfId="107"/>
    <cellStyle name="normálne 33 4 2 2" xfId="181"/>
    <cellStyle name="normálne 33 4 2 2 2" xfId="361"/>
    <cellStyle name="normálne 33 4 2 2 3" xfId="498"/>
    <cellStyle name="normálne 33 4 2 2 4" xfId="638"/>
    <cellStyle name="normálne 33 4 2 2 5" xfId="804"/>
    <cellStyle name="normálne 33 4 2 2 6" xfId="926"/>
    <cellStyle name="normálne 33 4 2 3" xfId="288"/>
    <cellStyle name="normálne 33 4 2 4" xfId="426"/>
    <cellStyle name="normálne 33 4 2 5" xfId="567"/>
    <cellStyle name="normálne 33 4 2 6" xfId="732"/>
    <cellStyle name="normálne 33 4 2 7" xfId="854"/>
    <cellStyle name="normálne 33 4 3" xfId="146"/>
    <cellStyle name="normálne 33 4 3 2" xfId="326"/>
    <cellStyle name="normálne 33 4 3 3" xfId="463"/>
    <cellStyle name="normálne 33 4 3 4" xfId="603"/>
    <cellStyle name="normálne 33 4 3 5" xfId="769"/>
    <cellStyle name="normálne 33 4 3 6" xfId="877"/>
    <cellStyle name="normálne 33 4 4" xfId="245"/>
    <cellStyle name="normálne 33 4 5" xfId="389"/>
    <cellStyle name="normálne 33 4 6" xfId="532"/>
    <cellStyle name="normálne 33 4 7" xfId="695"/>
    <cellStyle name="normálne 33 4 8" xfId="675"/>
    <cellStyle name="normálne 33 5" xfId="85"/>
    <cellStyle name="normálne 33 5 2" xfId="159"/>
    <cellStyle name="normálne 33 5 2 2" xfId="339"/>
    <cellStyle name="normálne 33 5 2 3" xfId="476"/>
    <cellStyle name="normálne 33 5 2 4" xfId="616"/>
    <cellStyle name="normálne 33 5 2 5" xfId="782"/>
    <cellStyle name="normálne 33 5 2 6" xfId="937"/>
    <cellStyle name="normálne 33 5 3" xfId="266"/>
    <cellStyle name="normálne 33 5 4" xfId="404"/>
    <cellStyle name="normálne 33 5 5" xfId="545"/>
    <cellStyle name="normálne 33 5 6" xfId="710"/>
    <cellStyle name="normálne 33 5 7" xfId="933"/>
    <cellStyle name="normálne 33 6" xfId="124"/>
    <cellStyle name="normálne 33 6 2" xfId="304"/>
    <cellStyle name="normálne 33 6 3" xfId="441"/>
    <cellStyle name="normálne 33 6 4" xfId="581"/>
    <cellStyle name="normálne 33 6 5" xfId="747"/>
    <cellStyle name="normálne 33 6 6" xfId="888"/>
    <cellStyle name="normálne 33 7" xfId="207"/>
    <cellStyle name="normálne 33 8" xfId="255"/>
    <cellStyle name="normálne 33 9" xfId="512"/>
    <cellStyle name="normálne 34" xfId="669"/>
    <cellStyle name="normálne 35" xfId="1217"/>
    <cellStyle name="normálne 35 2" xfId="1362"/>
    <cellStyle name="normálne 36" xfId="1215"/>
    <cellStyle name="normálne 37" xfId="1102"/>
    <cellStyle name="normálne 38" xfId="1101"/>
    <cellStyle name="normálne 39" xfId="1109"/>
    <cellStyle name="normálne 4" xfId="26"/>
    <cellStyle name="normálne 4 10" xfId="659"/>
    <cellStyle name="normálne 4 10 2" xfId="993"/>
    <cellStyle name="normálne 4 10 3" xfId="1086"/>
    <cellStyle name="normálne 4 11" xfId="1001"/>
    <cellStyle name="normálne 4 12" xfId="1063"/>
    <cellStyle name="normálne 4 13" xfId="1052"/>
    <cellStyle name="normálne 4 14" xfId="1042"/>
    <cellStyle name="normálne 4 15" xfId="1008"/>
    <cellStyle name="normálne 4 16" xfId="1031"/>
    <cellStyle name="normálne 4 17" xfId="1036"/>
    <cellStyle name="normálne 4 18" xfId="1053"/>
    <cellStyle name="normálne 4 19" xfId="819"/>
    <cellStyle name="normálne 4 2" xfId="40"/>
    <cellStyle name="normálne 4 2 10" xfId="972"/>
    <cellStyle name="normálne 4 2 2" xfId="53"/>
    <cellStyle name="normálne 4 2 2 2" xfId="105"/>
    <cellStyle name="normálne 4 2 2 2 2" xfId="179"/>
    <cellStyle name="normálne 4 2 2 2 2 2" xfId="359"/>
    <cellStyle name="normálne 4 2 2 2 2 3" xfId="496"/>
    <cellStyle name="normálne 4 2 2 2 2 4" xfId="636"/>
    <cellStyle name="normálne 4 2 2 2 2 5" xfId="802"/>
    <cellStyle name="normálne 4 2 2 2 2 6" xfId="853"/>
    <cellStyle name="normálne 4 2 2 2 3" xfId="286"/>
    <cellStyle name="normálne 4 2 2 2 4" xfId="424"/>
    <cellStyle name="normálne 4 2 2 2 5" xfId="565"/>
    <cellStyle name="normálne 4 2 2 2 6" xfId="730"/>
    <cellStyle name="normálne 4 2 2 2 7" xfId="949"/>
    <cellStyle name="normálne 4 2 2 3" xfId="144"/>
    <cellStyle name="normálne 4 2 2 3 2" xfId="324"/>
    <cellStyle name="normálne 4 2 2 3 3" xfId="461"/>
    <cellStyle name="normálne 4 2 2 3 4" xfId="601"/>
    <cellStyle name="normálne 4 2 2 3 5" xfId="767"/>
    <cellStyle name="normálne 4 2 2 3 6" xfId="971"/>
    <cellStyle name="normálne 4 2 2 4" xfId="239"/>
    <cellStyle name="normálne 4 2 2 5" xfId="384"/>
    <cellStyle name="normálne 4 2 2 6" xfId="530"/>
    <cellStyle name="normálne 4 2 2 7" xfId="691"/>
    <cellStyle name="normálne 4 2 2 8" xfId="857"/>
    <cellStyle name="normálne 4 2 3" xfId="78"/>
    <cellStyle name="normálne 4 2 3 2" xfId="116"/>
    <cellStyle name="normálne 4 2 3 2 2" xfId="190"/>
    <cellStyle name="normálne 4 2 3 2 2 2" xfId="370"/>
    <cellStyle name="normálne 4 2 3 2 2 3" xfId="507"/>
    <cellStyle name="normálne 4 2 3 2 2 4" xfId="647"/>
    <cellStyle name="normálne 4 2 3 2 2 5" xfId="813"/>
    <cellStyle name="normálne 4 2 3 2 2 6" xfId="907"/>
    <cellStyle name="normálne 4 2 3 2 3" xfId="297"/>
    <cellStyle name="normálne 4 2 3 2 4" xfId="435"/>
    <cellStyle name="normálne 4 2 3 2 5" xfId="576"/>
    <cellStyle name="normálne 4 2 3 2 6" xfId="741"/>
    <cellStyle name="normálne 4 2 3 2 7" xfId="876"/>
    <cellStyle name="normálne 4 2 3 3" xfId="155"/>
    <cellStyle name="normálne 4 2 3 3 2" xfId="335"/>
    <cellStyle name="normálne 4 2 3 3 3" xfId="472"/>
    <cellStyle name="normálne 4 2 3 3 4" xfId="612"/>
    <cellStyle name="normálne 4 2 3 3 5" xfId="778"/>
    <cellStyle name="normálne 4 2 3 3 6" xfId="859"/>
    <cellStyle name="normálne 4 2 3 4" xfId="260"/>
    <cellStyle name="normálne 4 2 3 5" xfId="399"/>
    <cellStyle name="normálne 4 2 3 6" xfId="541"/>
    <cellStyle name="normálne 4 2 3 7" xfId="705"/>
    <cellStyle name="normálne 4 2 3 8" xfId="967"/>
    <cellStyle name="normálne 4 2 4" xfId="94"/>
    <cellStyle name="normálne 4 2 4 2" xfId="168"/>
    <cellStyle name="normálne 4 2 4 2 2" xfId="348"/>
    <cellStyle name="normálne 4 2 4 2 3" xfId="485"/>
    <cellStyle name="normálne 4 2 4 2 4" xfId="625"/>
    <cellStyle name="normálne 4 2 4 2 5" xfId="791"/>
    <cellStyle name="normálne 4 2 4 2 6" xfId="976"/>
    <cellStyle name="normálne 4 2 4 3" xfId="275"/>
    <cellStyle name="normálne 4 2 4 4" xfId="413"/>
    <cellStyle name="normálne 4 2 4 5" xfId="554"/>
    <cellStyle name="normálne 4 2 4 6" xfId="719"/>
    <cellStyle name="normálne 4 2 4 7" xfId="902"/>
    <cellStyle name="normálne 4 2 5" xfId="133"/>
    <cellStyle name="normálne 4 2 5 2" xfId="313"/>
    <cellStyle name="normálne 4 2 5 3" xfId="450"/>
    <cellStyle name="normálne 4 2 5 4" xfId="590"/>
    <cellStyle name="normálne 4 2 5 5" xfId="756"/>
    <cellStyle name="normálne 4 2 5 6" xfId="931"/>
    <cellStyle name="normálne 4 2 6" xfId="226"/>
    <cellStyle name="normálne 4 2 7" xfId="265"/>
    <cellStyle name="normálne 4 2 8" xfId="519"/>
    <cellStyle name="normálne 4 2 9" xfId="673"/>
    <cellStyle name="normálne 4 20" xfId="1098"/>
    <cellStyle name="normálne 4 21" xfId="1104"/>
    <cellStyle name="normálne 4 22" xfId="1111"/>
    <cellStyle name="normálne 4 23" xfId="1118"/>
    <cellStyle name="normálne 4 24" xfId="1125"/>
    <cellStyle name="normálne 4 25" xfId="1132"/>
    <cellStyle name="normálne 4 26" xfId="1138"/>
    <cellStyle name="normálne 4 27" xfId="1144"/>
    <cellStyle name="normálne 4 28" xfId="1150"/>
    <cellStyle name="normálne 4 29" xfId="1156"/>
    <cellStyle name="normálne 4 3" xfId="47"/>
    <cellStyle name="normálne 4 3 2" xfId="99"/>
    <cellStyle name="normálne 4 3 2 2" xfId="173"/>
    <cellStyle name="normálne 4 3 2 2 2" xfId="353"/>
    <cellStyle name="normálne 4 3 2 2 3" xfId="490"/>
    <cellStyle name="normálne 4 3 2 2 4" xfId="630"/>
    <cellStyle name="normálne 4 3 2 2 5" xfId="796"/>
    <cellStyle name="normálne 4 3 2 2 6" xfId="830"/>
    <cellStyle name="normálne 4 3 2 3" xfId="280"/>
    <cellStyle name="normálne 4 3 2 4" xfId="418"/>
    <cellStyle name="normálne 4 3 2 5" xfId="559"/>
    <cellStyle name="normálne 4 3 2 6" xfId="724"/>
    <cellStyle name="normálne 4 3 2 7" xfId="936"/>
    <cellStyle name="normálne 4 3 3" xfId="138"/>
    <cellStyle name="normálne 4 3 3 2" xfId="318"/>
    <cellStyle name="normálne 4 3 3 3" xfId="455"/>
    <cellStyle name="normálne 4 3 3 4" xfId="595"/>
    <cellStyle name="normálne 4 3 3 5" xfId="761"/>
    <cellStyle name="normálne 4 3 3 6" xfId="958"/>
    <cellStyle name="normálne 4 3 4" xfId="233"/>
    <cellStyle name="normálne 4 3 5" xfId="248"/>
    <cellStyle name="normálne 4 3 6" xfId="524"/>
    <cellStyle name="normálne 4 3 7" xfId="686"/>
    <cellStyle name="normálne 4 3 8" xfId="963"/>
    <cellStyle name="normálne 4 30" xfId="1272"/>
    <cellStyle name="normálne 4 4" xfId="67"/>
    <cellStyle name="normálne 4 4 2" xfId="110"/>
    <cellStyle name="normálne 4 4 2 2" xfId="184"/>
    <cellStyle name="normálne 4 4 2 2 2" xfId="364"/>
    <cellStyle name="normálne 4 4 2 2 3" xfId="501"/>
    <cellStyle name="normálne 4 4 2 2 4" xfId="641"/>
    <cellStyle name="normálne 4 4 2 2 5" xfId="807"/>
    <cellStyle name="normálne 4 4 2 2 6" xfId="896"/>
    <cellStyle name="normálne 4 4 2 3" xfId="291"/>
    <cellStyle name="normálne 4 4 2 4" xfId="429"/>
    <cellStyle name="normálne 4 4 2 5" xfId="570"/>
    <cellStyle name="normálne 4 4 2 6" xfId="735"/>
    <cellStyle name="normálne 4 4 2 7" xfId="880"/>
    <cellStyle name="normálne 4 4 3" xfId="149"/>
    <cellStyle name="normálne 4 4 3 2" xfId="329"/>
    <cellStyle name="normálne 4 4 3 3" xfId="466"/>
    <cellStyle name="normálne 4 4 3 4" xfId="606"/>
    <cellStyle name="normálne 4 4 3 5" xfId="772"/>
    <cellStyle name="normálne 4 4 3 6" xfId="841"/>
    <cellStyle name="normálne 4 4 4" xfId="250"/>
    <cellStyle name="normálne 4 4 5" xfId="393"/>
    <cellStyle name="normálne 4 4 6" xfId="535"/>
    <cellStyle name="normálne 4 4 7" xfId="698"/>
    <cellStyle name="normálne 4 4 8" xfId="865"/>
    <cellStyle name="normálne 4 5" xfId="88"/>
    <cellStyle name="normálne 4 5 2" xfId="162"/>
    <cellStyle name="normálne 4 5 2 2" xfId="342"/>
    <cellStyle name="normálne 4 5 2 3" xfId="479"/>
    <cellStyle name="normálne 4 5 2 4" xfId="619"/>
    <cellStyle name="normálne 4 5 2 5" xfId="785"/>
    <cellStyle name="normálne 4 5 2 6" xfId="961"/>
    <cellStyle name="normálne 4 5 3" xfId="269"/>
    <cellStyle name="normálne 4 5 4" xfId="407"/>
    <cellStyle name="normálne 4 5 5" xfId="548"/>
    <cellStyle name="normálne 4 5 6" xfId="713"/>
    <cellStyle name="normálne 4 5 7" xfId="823"/>
    <cellStyle name="normálne 4 6" xfId="127"/>
    <cellStyle name="normálne 4 6 2" xfId="307"/>
    <cellStyle name="normálne 4 6 3" xfId="444"/>
    <cellStyle name="normálne 4 6 4" xfId="584"/>
    <cellStyle name="normálne 4 6 5" xfId="750"/>
    <cellStyle name="normálne 4 6 6" xfId="918"/>
    <cellStyle name="normálne 4 7" xfId="215"/>
    <cellStyle name="normálne 4 8" xfId="218"/>
    <cellStyle name="normálne 4 9" xfId="387"/>
    <cellStyle name="normálne 40" xfId="1116"/>
    <cellStyle name="normálne 41" xfId="1123"/>
    <cellStyle name="normálne 42" xfId="1130"/>
    <cellStyle name="normálne 43" xfId="1216"/>
    <cellStyle name="normálne 44" xfId="1295"/>
    <cellStyle name="normálne 45" xfId="1208"/>
    <cellStyle name="normálne 46" xfId="1207"/>
    <cellStyle name="normálne 47" xfId="1298"/>
    <cellStyle name="normálne 48" xfId="1297"/>
    <cellStyle name="normálne 49" xfId="1372"/>
    <cellStyle name="normálne 5" xfId="17"/>
    <cellStyle name="normálne 5 2" xfId="208"/>
    <cellStyle name="normálne 5 2 2" xfId="822"/>
    <cellStyle name="normálne 5 2 2 2" xfId="1328"/>
    <cellStyle name="normálne 5 2 3" xfId="845"/>
    <cellStyle name="normálne 5 2 3 2" xfId="1335"/>
    <cellStyle name="normálne 5 2 4" xfId="1306"/>
    <cellStyle name="normálne 5 3" xfId="222"/>
    <cellStyle name="normálne 5 3 2" xfId="829"/>
    <cellStyle name="normálne 5 3 2 2" xfId="1331"/>
    <cellStyle name="normálne 5 3 3" xfId="965"/>
    <cellStyle name="normálne 5 3 3 2" xfId="1346"/>
    <cellStyle name="normálne 5 3 4" xfId="1309"/>
    <cellStyle name="normálne 5 4" xfId="440"/>
    <cellStyle name="normálne 5 4 2" xfId="909"/>
    <cellStyle name="normálne 5 4 2 2" xfId="1343"/>
    <cellStyle name="normálne 5 4 3" xfId="889"/>
    <cellStyle name="normálne 5 4 3 2" xfId="1339"/>
    <cellStyle name="normálne 5 4 4" xfId="1316"/>
    <cellStyle name="normálne 5 5" xfId="668"/>
    <cellStyle name="normálne 5 5 2" xfId="1322"/>
    <cellStyle name="normálne 5 6" xfId="844"/>
    <cellStyle name="normálne 5 6 2" xfId="1334"/>
    <cellStyle name="normálne 5 7" xfId="1300"/>
    <cellStyle name="normálne 5 8" xfId="1271"/>
    <cellStyle name="normálne 6" xfId="27"/>
    <cellStyle name="normálne 6 10" xfId="660"/>
    <cellStyle name="normálne 6 10 2" xfId="994"/>
    <cellStyle name="normálne 6 10 3" xfId="1087"/>
    <cellStyle name="normálne 6 11" xfId="1027"/>
    <cellStyle name="normálne 6 12" xfId="1043"/>
    <cellStyle name="normálne 6 13" xfId="1062"/>
    <cellStyle name="normálne 6 14" xfId="1022"/>
    <cellStyle name="normálne 6 15" xfId="1019"/>
    <cellStyle name="normálne 6 16" xfId="1078"/>
    <cellStyle name="normálne 6 17" xfId="1067"/>
    <cellStyle name="normálne 6 18" xfId="1072"/>
    <cellStyle name="normálne 6 19" xfId="746"/>
    <cellStyle name="normálne 6 2" xfId="41"/>
    <cellStyle name="normálne 6 2 10" xfId="925"/>
    <cellStyle name="normálne 6 2 2" xfId="54"/>
    <cellStyle name="normálne 6 2 2 2" xfId="106"/>
    <cellStyle name="normálne 6 2 2 2 2" xfId="180"/>
    <cellStyle name="normálne 6 2 2 2 2 2" xfId="360"/>
    <cellStyle name="normálne 6 2 2 2 2 3" xfId="497"/>
    <cellStyle name="normálne 6 2 2 2 2 4" xfId="637"/>
    <cellStyle name="normálne 6 2 2 2 2 5" xfId="803"/>
    <cellStyle name="normálne 6 2 2 2 2 6" xfId="973"/>
    <cellStyle name="normálne 6 2 2 2 3" xfId="287"/>
    <cellStyle name="normálne 6 2 2 2 4" xfId="425"/>
    <cellStyle name="normálne 6 2 2 2 5" xfId="566"/>
    <cellStyle name="normálne 6 2 2 2 6" xfId="731"/>
    <cellStyle name="normálne 6 2 2 2 7" xfId="900"/>
    <cellStyle name="normálne 6 2 2 3" xfId="145"/>
    <cellStyle name="normálne 6 2 2 3 2" xfId="325"/>
    <cellStyle name="normálne 6 2 2 3 3" xfId="462"/>
    <cellStyle name="normálne 6 2 2 3 4" xfId="602"/>
    <cellStyle name="normálne 6 2 2 3 5" xfId="768"/>
    <cellStyle name="normálne 6 2 2 3 6" xfId="923"/>
    <cellStyle name="normálne 6 2 2 4" xfId="240"/>
    <cellStyle name="normálne 6 2 2 5" xfId="385"/>
    <cellStyle name="normálne 6 2 2 6" xfId="531"/>
    <cellStyle name="normálne 6 2 2 7" xfId="692"/>
    <cellStyle name="normálne 6 2 2 8" xfId="978"/>
    <cellStyle name="normálne 6 2 3" xfId="79"/>
    <cellStyle name="normálne 6 2 3 2" xfId="117"/>
    <cellStyle name="normálne 6 2 3 2 2" xfId="191"/>
    <cellStyle name="normálne 6 2 3 2 2 2" xfId="371"/>
    <cellStyle name="normálne 6 2 3 2 2 3" xfId="508"/>
    <cellStyle name="normálne 6 2 3 2 2 4" xfId="648"/>
    <cellStyle name="normálne 6 2 3 2 2 5" xfId="814"/>
    <cellStyle name="normálne 6 2 3 2 2 6" xfId="861"/>
    <cellStyle name="normálne 6 2 3 2 3" xfId="298"/>
    <cellStyle name="normálne 6 2 3 2 4" xfId="436"/>
    <cellStyle name="normálne 6 2 3 2 5" xfId="577"/>
    <cellStyle name="normálne 6 2 3 2 6" xfId="742"/>
    <cellStyle name="normálne 6 2 3 2 7" xfId="957"/>
    <cellStyle name="normálne 6 2 3 3" xfId="156"/>
    <cellStyle name="normálne 6 2 3 3 2" xfId="336"/>
    <cellStyle name="normálne 6 2 3 3 3" xfId="473"/>
    <cellStyle name="normálne 6 2 3 3 4" xfId="613"/>
    <cellStyle name="normálne 6 2 3 3 5" xfId="779"/>
    <cellStyle name="normálne 6 2 3 3 6" xfId="981"/>
    <cellStyle name="normálne 6 2 3 4" xfId="261"/>
    <cellStyle name="normálne 6 2 3 5" xfId="400"/>
    <cellStyle name="normálne 6 2 3 6" xfId="542"/>
    <cellStyle name="normálne 6 2 3 7" xfId="706"/>
    <cellStyle name="normálne 6 2 3 8" xfId="920"/>
    <cellStyle name="normálne 6 2 4" xfId="95"/>
    <cellStyle name="normálne 6 2 4 2" xfId="169"/>
    <cellStyle name="normálne 6 2 4 2 2" xfId="349"/>
    <cellStyle name="normálne 6 2 4 2 3" xfId="486"/>
    <cellStyle name="normálne 6 2 4 2 4" xfId="626"/>
    <cellStyle name="normálne 6 2 4 2 5" xfId="792"/>
    <cellStyle name="normálne 6 2 4 2 6" xfId="928"/>
    <cellStyle name="normálne 6 2 4 3" xfId="276"/>
    <cellStyle name="normálne 6 2 4 4" xfId="414"/>
    <cellStyle name="normálne 6 2 4 5" xfId="555"/>
    <cellStyle name="normálne 6 2 4 6" xfId="720"/>
    <cellStyle name="normálne 6 2 4 7" xfId="856"/>
    <cellStyle name="normálne 6 2 5" xfId="134"/>
    <cellStyle name="normálne 6 2 5 2" xfId="314"/>
    <cellStyle name="normálne 6 2 5 3" xfId="451"/>
    <cellStyle name="normálne 6 2 5 4" xfId="591"/>
    <cellStyle name="normálne 6 2 5 5" xfId="757"/>
    <cellStyle name="normálne 6 2 5 6" xfId="883"/>
    <cellStyle name="normálne 6 2 6" xfId="227"/>
    <cellStyle name="normálne 6 2 7" xfId="242"/>
    <cellStyle name="normálne 6 2 8" xfId="520"/>
    <cellStyle name="normálne 6 2 9" xfId="674"/>
    <cellStyle name="normálne 6 20" xfId="1097"/>
    <cellStyle name="normálne 6 21" xfId="1105"/>
    <cellStyle name="normálne 6 22" xfId="1112"/>
    <cellStyle name="normálne 6 23" xfId="1119"/>
    <cellStyle name="normálne 6 24" xfId="1126"/>
    <cellStyle name="normálne 6 25" xfId="1133"/>
    <cellStyle name="normálne 6 26" xfId="1139"/>
    <cellStyle name="normálne 6 27" xfId="1145"/>
    <cellStyle name="normálne 6 28" xfId="1151"/>
    <cellStyle name="normálne 6 29" xfId="1157"/>
    <cellStyle name="normálne 6 3" xfId="48"/>
    <cellStyle name="normálne 6 3 2" xfId="100"/>
    <cellStyle name="normálne 6 3 2 2" xfId="174"/>
    <cellStyle name="normálne 6 3 2 2 2" xfId="354"/>
    <cellStyle name="normálne 6 3 2 2 3" xfId="491"/>
    <cellStyle name="normálne 6 3 2 2 4" xfId="631"/>
    <cellStyle name="normálne 6 3 2 2 5" xfId="797"/>
    <cellStyle name="normálne 6 3 2 2 6" xfId="959"/>
    <cellStyle name="normálne 6 3 2 3" xfId="281"/>
    <cellStyle name="normálne 6 3 2 4" xfId="419"/>
    <cellStyle name="normálne 6 3 2 5" xfId="560"/>
    <cellStyle name="normálne 6 3 2 6" xfId="725"/>
    <cellStyle name="normálne 6 3 2 7" xfId="838"/>
    <cellStyle name="normálne 6 3 3" xfId="139"/>
    <cellStyle name="normálne 6 3 3 2" xfId="319"/>
    <cellStyle name="normálne 6 3 3 3" xfId="456"/>
    <cellStyle name="normálne 6 3 3 4" xfId="596"/>
    <cellStyle name="normálne 6 3 3 5" xfId="762"/>
    <cellStyle name="normálne 6 3 3 6" xfId="910"/>
    <cellStyle name="normálne 6 3 4" xfId="234"/>
    <cellStyle name="normálne 6 3 5" xfId="213"/>
    <cellStyle name="normálne 6 3 6" xfId="525"/>
    <cellStyle name="normálne 6 3 7" xfId="687"/>
    <cellStyle name="normálne 6 3 8" xfId="916"/>
    <cellStyle name="normálne 6 30" xfId="1251"/>
    <cellStyle name="normálne 6 4" xfId="68"/>
    <cellStyle name="normálne 6 4 2" xfId="111"/>
    <cellStyle name="normálne 6 4 2 2" xfId="185"/>
    <cellStyle name="normálne 6 4 2 2 2" xfId="365"/>
    <cellStyle name="normálne 6 4 2 2 3" xfId="502"/>
    <cellStyle name="normálne 6 4 2 2 4" xfId="642"/>
    <cellStyle name="normálne 6 4 2 2 5" xfId="808"/>
    <cellStyle name="normálne 6 4 2 2 6" xfId="846"/>
    <cellStyle name="normálne 6 4 2 3" xfId="292"/>
    <cellStyle name="normálne 6 4 2 4" xfId="430"/>
    <cellStyle name="normálne 6 4 2 5" xfId="571"/>
    <cellStyle name="normálne 6 4 2 6" xfId="736"/>
    <cellStyle name="normálne 6 4 2 7" xfId="944"/>
    <cellStyle name="normálne 6 4 3" xfId="150"/>
    <cellStyle name="normálne 6 4 3 2" xfId="330"/>
    <cellStyle name="normálne 6 4 3 3" xfId="467"/>
    <cellStyle name="normálne 6 4 3 4" xfId="607"/>
    <cellStyle name="normálne 6 4 3 5" xfId="773"/>
    <cellStyle name="normálne 6 4 3 6" xfId="966"/>
    <cellStyle name="normálne 6 4 4" xfId="251"/>
    <cellStyle name="normálne 6 4 5" xfId="394"/>
    <cellStyle name="normálne 6 4 6" xfId="536"/>
    <cellStyle name="normálne 6 4 7" xfId="699"/>
    <cellStyle name="normálne 6 4 8" xfId="947"/>
    <cellStyle name="normálne 6 5" xfId="89"/>
    <cellStyle name="normálne 6 5 2" xfId="163"/>
    <cellStyle name="normálne 6 5 2 2" xfId="343"/>
    <cellStyle name="normálne 6 5 2 3" xfId="480"/>
    <cellStyle name="normálne 6 5 2 4" xfId="620"/>
    <cellStyle name="normálne 6 5 2 5" xfId="786"/>
    <cellStyle name="normálne 6 5 2 6" xfId="914"/>
    <cellStyle name="normálne 6 5 3" xfId="270"/>
    <cellStyle name="normálne 6 5 4" xfId="408"/>
    <cellStyle name="normálne 6 5 5" xfId="549"/>
    <cellStyle name="normálne 6 5 6" xfId="714"/>
    <cellStyle name="normálne 6 5 7" xfId="834"/>
    <cellStyle name="normálne 6 6" xfId="128"/>
    <cellStyle name="normálne 6 6 2" xfId="308"/>
    <cellStyle name="normálne 6 6 3" xfId="445"/>
    <cellStyle name="normálne 6 6 4" xfId="585"/>
    <cellStyle name="normálne 6 6 5" xfId="751"/>
    <cellStyle name="normálne 6 6 6" xfId="872"/>
    <cellStyle name="normálne 6 7" xfId="216"/>
    <cellStyle name="normálne 6 8" xfId="379"/>
    <cellStyle name="normálne 6 9" xfId="228"/>
    <cellStyle name="normálne 7" xfId="29"/>
    <cellStyle name="normálne 7 2" xfId="69"/>
    <cellStyle name="normálne 7 3" xfId="1365"/>
    <cellStyle name="normálne 8" xfId="33"/>
    <cellStyle name="normálne 8 2" xfId="71"/>
    <cellStyle name="normálne 8 3" xfId="1239"/>
    <cellStyle name="normálne 9" xfId="30"/>
    <cellStyle name="normálne 9 10" xfId="1068"/>
    <cellStyle name="normálne 9 11" xfId="1075"/>
    <cellStyle name="normálne 9 12" xfId="1077"/>
    <cellStyle name="normálne 9 13" xfId="1079"/>
    <cellStyle name="normálne 9 14" xfId="1081"/>
    <cellStyle name="normálne 9 15" xfId="1005"/>
    <cellStyle name="normálne 9 16" xfId="1057"/>
    <cellStyle name="normálne 9 17" xfId="1069"/>
    <cellStyle name="normálne 9 18" xfId="682"/>
    <cellStyle name="normálne 9 19" xfId="1095"/>
    <cellStyle name="normálne 9 2" xfId="49"/>
    <cellStyle name="normálne 9 2 2" xfId="101"/>
    <cellStyle name="normálne 9 2 2 2" xfId="175"/>
    <cellStyle name="normálne 9 2 2 2 2" xfId="355"/>
    <cellStyle name="normálne 9 2 2 2 3" xfId="492"/>
    <cellStyle name="normálne 9 2 2 2 4" xfId="632"/>
    <cellStyle name="normálne 9 2 2 2 5" xfId="798"/>
    <cellStyle name="normálne 9 2 2 2 6" xfId="912"/>
    <cellStyle name="normálne 9 2 2 3" xfId="282"/>
    <cellStyle name="normálne 9 2 2 4" xfId="420"/>
    <cellStyle name="normálne 9 2 2 5" xfId="561"/>
    <cellStyle name="normálne 9 2 2 6" xfId="726"/>
    <cellStyle name="normálne 9 2 2 7" xfId="831"/>
    <cellStyle name="normálne 9 2 3" xfId="140"/>
    <cellStyle name="normálne 9 2 3 2" xfId="320"/>
    <cellStyle name="normálne 9 2 3 3" xfId="457"/>
    <cellStyle name="normálne 9 2 3 4" xfId="597"/>
    <cellStyle name="normálne 9 2 3 5" xfId="763"/>
    <cellStyle name="normálne 9 2 3 6" xfId="864"/>
    <cellStyle name="normálne 9 2 4" xfId="235"/>
    <cellStyle name="normálne 9 2 5" xfId="380"/>
    <cellStyle name="normálne 9 2 6" xfId="526"/>
    <cellStyle name="normálne 9 2 7" xfId="676"/>
    <cellStyle name="normálne 9 2 8" xfId="895"/>
    <cellStyle name="normálne 9 20" xfId="1108"/>
    <cellStyle name="normálne 9 21" xfId="1115"/>
    <cellStyle name="normálne 9 22" xfId="1122"/>
    <cellStyle name="normálne 9 23" xfId="1129"/>
    <cellStyle name="normálne 9 24" xfId="1136"/>
    <cellStyle name="normálne 9 25" xfId="1142"/>
    <cellStyle name="normálne 9 26" xfId="1148"/>
    <cellStyle name="normálne 9 27" xfId="1154"/>
    <cellStyle name="normálne 9 28" xfId="1160"/>
    <cellStyle name="normálne 9 3" xfId="70"/>
    <cellStyle name="normálne 9 3 2" xfId="112"/>
    <cellStyle name="normálne 9 3 2 2" xfId="186"/>
    <cellStyle name="normálne 9 3 2 2 2" xfId="366"/>
    <cellStyle name="normálne 9 3 2 2 3" xfId="503"/>
    <cellStyle name="normálne 9 3 2 2 4" xfId="643"/>
    <cellStyle name="normálne 9 3 2 2 5" xfId="809"/>
    <cellStyle name="normálne 9 3 2 2 6" xfId="969"/>
    <cellStyle name="normálne 9 3 2 3" xfId="293"/>
    <cellStyle name="normálne 9 3 2 4" xfId="431"/>
    <cellStyle name="normálne 9 3 2 5" xfId="572"/>
    <cellStyle name="normálne 9 3 2 6" xfId="737"/>
    <cellStyle name="normálne 9 3 2 7" xfId="897"/>
    <cellStyle name="normálne 9 3 3" xfId="151"/>
    <cellStyle name="normálne 9 3 3 2" xfId="331"/>
    <cellStyle name="normálne 9 3 3 3" xfId="468"/>
    <cellStyle name="normálne 9 3 3 4" xfId="608"/>
    <cellStyle name="normálne 9 3 3 5" xfId="774"/>
    <cellStyle name="normálne 9 3 3 6" xfId="919"/>
    <cellStyle name="normálne 9 3 4" xfId="253"/>
    <cellStyle name="normálne 9 3 5" xfId="395"/>
    <cellStyle name="normálne 9 3 6" xfId="537"/>
    <cellStyle name="normálne 9 3 7" xfId="700"/>
    <cellStyle name="normálne 9 3 8" xfId="851"/>
    <cellStyle name="normálne 9 4" xfId="90"/>
    <cellStyle name="normálne 9 4 2" xfId="164"/>
    <cellStyle name="normálne 9 4 2 2" xfId="344"/>
    <cellStyle name="normálne 9 4 2 3" xfId="481"/>
    <cellStyle name="normálne 9 4 2 4" xfId="621"/>
    <cellStyle name="normálne 9 4 2 5" xfId="787"/>
    <cellStyle name="normálne 9 4 2 6" xfId="868"/>
    <cellStyle name="normálne 9 4 3" xfId="271"/>
    <cellStyle name="normálne 9 4 4" xfId="409"/>
    <cellStyle name="normálne 9 4 5" xfId="550"/>
    <cellStyle name="normálne 9 4 6" xfId="715"/>
    <cellStyle name="normálne 9 4 7" xfId="962"/>
    <cellStyle name="normálne 9 5" xfId="129"/>
    <cellStyle name="normálne 9 5 2" xfId="309"/>
    <cellStyle name="normálne 9 5 3" xfId="446"/>
    <cellStyle name="normálne 9 5 4" xfId="586"/>
    <cellStyle name="normálne 9 5 5" xfId="752"/>
    <cellStyle name="normálne 9 5 6" xfId="953"/>
    <cellStyle name="normálne 9 6" xfId="219"/>
    <cellStyle name="normálne 9 7" xfId="375"/>
    <cellStyle name="normálne 9 8" xfId="254"/>
    <cellStyle name="normálne 9 9" xfId="663"/>
    <cellStyle name="normálne 9 9 2" xfId="995"/>
    <cellStyle name="normálne 9 9 3" xfId="1088"/>
    <cellStyle name="normální_CENY.XLS" xfId="12"/>
    <cellStyle name="Note" xfId="1231"/>
    <cellStyle name="Output" xfId="1258"/>
    <cellStyle name="Percentá" xfId="3" builtinId="5"/>
    <cellStyle name="percentá 10" xfId="1209"/>
    <cellStyle name="percentá 11" xfId="1210"/>
    <cellStyle name="percentá 12" xfId="1211"/>
    <cellStyle name="percentá 13" xfId="1218"/>
    <cellStyle name="percentá 13 2" xfId="1363"/>
    <cellStyle name="percentá 14" xfId="1212"/>
    <cellStyle name="percentá 15" xfId="1213"/>
    <cellStyle name="Percentá 16" xfId="13"/>
    <cellStyle name="percentá 17" xfId="1214"/>
    <cellStyle name="Percentá 18" xfId="1221"/>
    <cellStyle name="Percentá 19" xfId="1222"/>
    <cellStyle name="Percentá 2" xfId="7"/>
    <cellStyle name="percentá 2 10" xfId="1049"/>
    <cellStyle name="percentá 2 11" xfId="1032"/>
    <cellStyle name="percentá 2 12" xfId="1064"/>
    <cellStyle name="percentá 2 13" xfId="1071"/>
    <cellStyle name="percentá 2 14" xfId="709"/>
    <cellStyle name="percentá 2 15" xfId="1100"/>
    <cellStyle name="percentá 2 16" xfId="1106"/>
    <cellStyle name="percentá 2 17" xfId="1113"/>
    <cellStyle name="percentá 2 18" xfId="1120"/>
    <cellStyle name="percentá 2 19" xfId="1127"/>
    <cellStyle name="percentá 2 2" xfId="38"/>
    <cellStyle name="percentá 2 2 2" xfId="76"/>
    <cellStyle name="percentá 2 20" xfId="1134"/>
    <cellStyle name="percentá 2 21" xfId="1140"/>
    <cellStyle name="percentá 2 22" xfId="1146"/>
    <cellStyle name="percentá 2 23" xfId="1152"/>
    <cellStyle name="percentá 2 24" xfId="1158"/>
    <cellStyle name="percentá 2 25" xfId="22"/>
    <cellStyle name="percentá 2 3" xfId="32"/>
    <cellStyle name="percentá 2 3 2" xfId="221"/>
    <cellStyle name="percentá 2 3 2 2" xfId="828"/>
    <cellStyle name="percentá 2 3 2 2 2" xfId="1330"/>
    <cellStyle name="percentá 2 3 2 3" xfId="839"/>
    <cellStyle name="percentá 2 3 2 3 2" xfId="1332"/>
    <cellStyle name="percentá 2 3 2 4" xfId="1308"/>
    <cellStyle name="percentá 2 3 3" xfId="264"/>
    <cellStyle name="percentá 2 3 3 2" xfId="848"/>
    <cellStyle name="percentá 2 3 3 2 2" xfId="1336"/>
    <cellStyle name="percentá 2 3 3 3" xfId="982"/>
    <cellStyle name="percentá 2 3 3 3 2" xfId="1350"/>
    <cellStyle name="percentá 2 3 3 4" xfId="1310"/>
    <cellStyle name="percentá 2 3 4" xfId="391"/>
    <cellStyle name="percentá 2 3 4 2" xfId="893"/>
    <cellStyle name="percentá 2 3 4 2 2" xfId="1342"/>
    <cellStyle name="percentá 2 3 4 3" xfId="945"/>
    <cellStyle name="percentá 2 3 4 3 2" xfId="1345"/>
    <cellStyle name="percentá 2 3 4 4" xfId="1315"/>
    <cellStyle name="percentá 2 3 5" xfId="678"/>
    <cellStyle name="percentá 2 3 5 2" xfId="1324"/>
    <cellStyle name="percentá 2 3 6" xfId="968"/>
    <cellStyle name="percentá 2 3 6 2" xfId="1347"/>
    <cellStyle name="percentá 2 3 7" xfId="1302"/>
    <cellStyle name="percentá 2 4" xfId="63"/>
    <cellStyle name="percentá 2 5" xfId="661"/>
    <cellStyle name="percentá 2 5 2" xfId="991"/>
    <cellStyle name="percentá 2 5 3" xfId="1084"/>
    <cellStyle name="percentá 2 6" xfId="985"/>
    <cellStyle name="percentá 2 7" xfId="1006"/>
    <cellStyle name="percentá 2 8" xfId="1016"/>
    <cellStyle name="percentá 2 9" xfId="1029"/>
    <cellStyle name="Percentá 20" xfId="1224"/>
    <cellStyle name="Percentá 21" xfId="1291"/>
    <cellStyle name="Percentá 22" xfId="1282"/>
    <cellStyle name="Percentá 23" xfId="1240"/>
    <cellStyle name="Percentá 24" xfId="1275"/>
    <cellStyle name="Percentá 25" xfId="1285"/>
    <cellStyle name="Percentá 26" xfId="1286"/>
    <cellStyle name="Percentá 27" xfId="1274"/>
    <cellStyle name="Percentá 28" xfId="1361"/>
    <cellStyle name="Percentá 29" xfId="1287"/>
    <cellStyle name="percentá 3" xfId="35"/>
    <cellStyle name="percentá 3 10" xfId="1023"/>
    <cellStyle name="percentá 3 11" xfId="1076"/>
    <cellStyle name="percentá 3 2" xfId="73"/>
    <cellStyle name="percentá 3 3" xfId="999"/>
    <cellStyle name="percentá 3 4" xfId="1045"/>
    <cellStyle name="percentá 3 5" xfId="1033"/>
    <cellStyle name="percentá 3 6" xfId="1030"/>
    <cellStyle name="percentá 3 7" xfId="1018"/>
    <cellStyle name="percentá 3 8" xfId="1051"/>
    <cellStyle name="percentá 3 9" xfId="1041"/>
    <cellStyle name="Percentá 30" xfId="1368"/>
    <cellStyle name="Percentá 31" xfId="1371"/>
    <cellStyle name="Percentá 32" xfId="1369"/>
    <cellStyle name="Percentá 33" xfId="1373"/>
    <cellStyle name="percentá 4" xfId="43"/>
    <cellStyle name="percentá 5" xfId="57"/>
    <cellStyle name="percentá 6" xfId="84"/>
    <cellStyle name="percentá 7" xfId="123"/>
    <cellStyle name="percentá 8" xfId="198"/>
    <cellStyle name="percentá 9" xfId="200"/>
    <cellStyle name="percentá 9 2" xfId="378"/>
    <cellStyle name="percentá 9 2 2" xfId="1313"/>
    <cellStyle name="percentá 9 3" xfId="515"/>
    <cellStyle name="percentá 9 3 2" xfId="1318"/>
    <cellStyle name="percentá 9 4" xfId="654"/>
    <cellStyle name="percentá 9 4 2" xfId="1320"/>
    <cellStyle name="percentá 9 5" xfId="821"/>
    <cellStyle name="percentá 9 5 2" xfId="1327"/>
    <cellStyle name="percentá 9 6" xfId="871"/>
    <cellStyle name="percentá 9 6 2" xfId="1338"/>
    <cellStyle name="percentá 9 7" xfId="1304"/>
    <cellStyle name="Poznámka 2" xfId="1206"/>
    <cellStyle name="Poznámka 3" xfId="1202"/>
    <cellStyle name="Poznámka 4" xfId="1204"/>
    <cellStyle name="Poznámka 5" xfId="1203"/>
    <cellStyle name="Poznámka 6" xfId="1205"/>
    <cellStyle name="Poznámka 7" xfId="1201"/>
    <cellStyle name="Prepojená bunka 2" xfId="1172"/>
    <cellStyle name="SAPBEXaggData" xfId="18"/>
    <cellStyle name="Spolu 2" xfId="1176"/>
    <cellStyle name="Text upozornenia 2" xfId="1174"/>
    <cellStyle name="Title" xfId="1277"/>
    <cellStyle name="Titul 2" xfId="1161"/>
    <cellStyle name="Total" xfId="1233"/>
    <cellStyle name="Vstup 2" xfId="1169"/>
    <cellStyle name="Výpočet 2" xfId="1171"/>
    <cellStyle name="Výstup 2" xfId="1170"/>
    <cellStyle name="Vysvetľujúci text 2" xfId="1175"/>
    <cellStyle name="Warning Text" xfId="1364"/>
    <cellStyle name="Zlá 2" xfId="1167"/>
    <cellStyle name="Zvýraznenie1 2" xfId="1177"/>
    <cellStyle name="Zvýraznenie2 2" xfId="1181"/>
    <cellStyle name="Zvýraznenie3 2" xfId="1185"/>
    <cellStyle name="Zvýraznenie4 2" xfId="1189"/>
    <cellStyle name="Zvýraznenie5 2" xfId="1193"/>
    <cellStyle name="Zvýraznenie6 2" xfId="11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Štrukúra výjazdov 2015-2021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areaChart>
        <c:grouping val="percentStacked"/>
        <c:varyColors val="0"/>
        <c:ser>
          <c:idx val="0"/>
          <c:order val="0"/>
          <c:tx>
            <c:strRef>
              <c:f>'struktura vyjazdy_analyza dopyt'!$B$4</c:f>
              <c:strCache>
                <c:ptCount val="1"/>
                <c:pt idx="0">
                  <c:v>Výjazdy k požiarom spolu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'struktura vyjazdy_analyza dopyt'!$C$3:$I$3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'struktura vyjazdy_analyza dopyt'!$C$4:$I$4</c:f>
              <c:numCache>
                <c:formatCode>General</c:formatCode>
                <c:ptCount val="7"/>
                <c:pt idx="0">
                  <c:v>11811</c:v>
                </c:pt>
                <c:pt idx="1">
                  <c:v>9355</c:v>
                </c:pt>
                <c:pt idx="2">
                  <c:v>11184</c:v>
                </c:pt>
                <c:pt idx="3">
                  <c:v>9836</c:v>
                </c:pt>
                <c:pt idx="4">
                  <c:v>10129</c:v>
                </c:pt>
                <c:pt idx="5">
                  <c:v>9215</c:v>
                </c:pt>
                <c:pt idx="6" formatCode="0">
                  <c:v>8590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8-4D71-986B-D0E1CD859C70}"/>
            </c:ext>
          </c:extLst>
        </c:ser>
        <c:ser>
          <c:idx val="1"/>
          <c:order val="1"/>
          <c:tx>
            <c:strRef>
              <c:f>'struktura vyjazdy_analyza dopyt'!$B$5</c:f>
              <c:strCache>
                <c:ptCount val="1"/>
                <c:pt idx="0">
                  <c:v>Výjazdy k technickej pomoci spolu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'struktura vyjazdy_analyza dopyt'!$C$3:$I$3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'struktura vyjazdy_analyza dopyt'!$C$5:$I$5</c:f>
              <c:numCache>
                <c:formatCode>General</c:formatCode>
                <c:ptCount val="7"/>
                <c:pt idx="0">
                  <c:v>10597</c:v>
                </c:pt>
                <c:pt idx="1">
                  <c:v>9971</c:v>
                </c:pt>
                <c:pt idx="2">
                  <c:v>12133</c:v>
                </c:pt>
                <c:pt idx="3">
                  <c:v>10787</c:v>
                </c:pt>
                <c:pt idx="4">
                  <c:v>11415</c:v>
                </c:pt>
                <c:pt idx="5">
                  <c:v>14020</c:v>
                </c:pt>
                <c:pt idx="6" formatCode="0">
                  <c:v>11522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C8-4D71-986B-D0E1CD859C70}"/>
            </c:ext>
          </c:extLst>
        </c:ser>
        <c:ser>
          <c:idx val="2"/>
          <c:order val="2"/>
          <c:tx>
            <c:strRef>
              <c:f>'struktura vyjazdy_analyza dopyt'!$B$6</c:f>
              <c:strCache>
                <c:ptCount val="1"/>
                <c:pt idx="0">
                  <c:v>Výjazdy k nebezpečným látkam spolu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'struktura vyjazdy_analyza dopyt'!$C$3:$I$3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'struktura vyjazdy_analyza dopyt'!$C$6:$I$6</c:f>
              <c:numCache>
                <c:formatCode>General</c:formatCode>
                <c:ptCount val="7"/>
                <c:pt idx="0">
                  <c:v>933</c:v>
                </c:pt>
                <c:pt idx="1">
                  <c:v>838</c:v>
                </c:pt>
                <c:pt idx="2">
                  <c:v>914</c:v>
                </c:pt>
                <c:pt idx="3">
                  <c:v>884</c:v>
                </c:pt>
                <c:pt idx="4">
                  <c:v>921</c:v>
                </c:pt>
                <c:pt idx="5">
                  <c:v>3218</c:v>
                </c:pt>
                <c:pt idx="6" formatCode="0">
                  <c:v>2315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C8-4D71-986B-D0E1CD859C70}"/>
            </c:ext>
          </c:extLst>
        </c:ser>
        <c:ser>
          <c:idx val="3"/>
          <c:order val="3"/>
          <c:tx>
            <c:strRef>
              <c:f>'struktura vyjazdy_analyza dopyt'!$B$7</c:f>
              <c:strCache>
                <c:ptCount val="1"/>
                <c:pt idx="0">
                  <c:v>Výjazdy k dopravným nehodám spolu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'struktura vyjazdy_analyza dopyt'!$C$3:$I$3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'struktura vyjazdy_analyza dopyt'!$C$7:$I$7</c:f>
              <c:numCache>
                <c:formatCode>General</c:formatCode>
                <c:ptCount val="7"/>
                <c:pt idx="0">
                  <c:v>7489</c:v>
                </c:pt>
                <c:pt idx="1">
                  <c:v>8013</c:v>
                </c:pt>
                <c:pt idx="2">
                  <c:v>8231</c:v>
                </c:pt>
                <c:pt idx="3">
                  <c:v>8471</c:v>
                </c:pt>
                <c:pt idx="4">
                  <c:v>8198</c:v>
                </c:pt>
                <c:pt idx="5">
                  <c:v>7243</c:v>
                </c:pt>
                <c:pt idx="6" formatCode="0">
                  <c:v>6968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C8-4D71-986B-D0E1CD859C70}"/>
            </c:ext>
          </c:extLst>
        </c:ser>
        <c:ser>
          <c:idx val="4"/>
          <c:order val="4"/>
          <c:tx>
            <c:strRef>
              <c:f>'struktura vyjazdy_analyza dopyt'!$B$8</c:f>
              <c:strCache>
                <c:ptCount val="1"/>
                <c:pt idx="0">
                  <c:v>Cvičenia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'struktura vyjazdy_analyza dopyt'!$C$3:$I$3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'struktura vyjazdy_analyza dopyt'!$C$8:$I$8</c:f>
              <c:numCache>
                <c:formatCode>General</c:formatCode>
                <c:ptCount val="7"/>
                <c:pt idx="0">
                  <c:v>1176</c:v>
                </c:pt>
                <c:pt idx="1">
                  <c:v>1176</c:v>
                </c:pt>
                <c:pt idx="2">
                  <c:v>1275</c:v>
                </c:pt>
                <c:pt idx="3">
                  <c:v>1348</c:v>
                </c:pt>
                <c:pt idx="4">
                  <c:v>1330</c:v>
                </c:pt>
                <c:pt idx="5">
                  <c:v>1217</c:v>
                </c:pt>
                <c:pt idx="6" formatCode="0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C8-4D71-986B-D0E1CD859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753999"/>
        <c:axId val="621754831"/>
      </c:areaChart>
      <c:catAx>
        <c:axId val="621753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21754831"/>
        <c:crosses val="autoZero"/>
        <c:auto val="1"/>
        <c:lblAlgn val="ctr"/>
        <c:lblOffset val="100"/>
        <c:noMultiLvlLbl val="0"/>
      </c:catAx>
      <c:valAx>
        <c:axId val="621754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2175399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 Extrapolácia trendu výjazdov k dopravným nehodám - jednoduchý lineárny model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0735870516185476"/>
          <c:y val="0.17634259259259263"/>
          <c:w val="0.79083814523184603"/>
          <c:h val="0.46567767570720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'struktura vyjazdy_analyza dopyt'!$G$22</c:f>
              <c:strCache>
                <c:ptCount val="1"/>
                <c:pt idx="0">
                  <c:v>výjazdy k dopravným nehodám - skutočnosť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'struktura vyjazdy_analyza dopyt'!$F$23:$F$45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xVal>
          <c:yVal>
            <c:numRef>
              <c:f>'struktura vyjazdy_analyza dopyt'!$G$23:$G$45</c:f>
              <c:numCache>
                <c:formatCode>General</c:formatCode>
                <c:ptCount val="23"/>
                <c:pt idx="0">
                  <c:v>7489</c:v>
                </c:pt>
                <c:pt idx="1">
                  <c:v>8013</c:v>
                </c:pt>
                <c:pt idx="2">
                  <c:v>8231</c:v>
                </c:pt>
                <c:pt idx="3">
                  <c:v>8471</c:v>
                </c:pt>
                <c:pt idx="4">
                  <c:v>8198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DB-4DFF-B998-597FE6C23B7D}"/>
            </c:ext>
          </c:extLst>
        </c:ser>
        <c:ser>
          <c:idx val="1"/>
          <c:order val="1"/>
          <c:tx>
            <c:strRef>
              <c:f>'struktura vyjazdy_analyza dopyt'!$H$22</c:f>
              <c:strCache>
                <c:ptCount val="1"/>
                <c:pt idx="0">
                  <c:v>skutočnosť - roky poznačené znížením mobility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'struktura vyjazdy_analyza dopyt'!$F$23:$F$45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xVal>
          <c:yVal>
            <c:numRef>
              <c:f>'struktura vyjazdy_analyza dopyt'!$H$23:$H$45</c:f>
              <c:numCache>
                <c:formatCode>General</c:formatCode>
                <c:ptCount val="23"/>
                <c:pt idx="5">
                  <c:v>7243</c:v>
                </c:pt>
                <c:pt idx="6">
                  <c:v>6968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DB-4DFF-B998-597FE6C23B7D}"/>
            </c:ext>
          </c:extLst>
        </c:ser>
        <c:ser>
          <c:idx val="2"/>
          <c:order val="2"/>
          <c:tx>
            <c:strRef>
              <c:f>'struktura vyjazdy_analyza dopyt'!$I$22</c:f>
              <c:strCache>
                <c:ptCount val="1"/>
                <c:pt idx="0">
                  <c:v>odhad - extrapolácia trendu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'struktura vyjazdy_analyza dopyt'!$F$23:$F$45</c:f>
              <c:numCache>
                <c:formatCode>General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xVal>
          <c:yVal>
            <c:numRef>
              <c:f>'struktura vyjazdy_analyza dopyt'!$I$23:$I$45</c:f>
              <c:numCache>
                <c:formatCode>General</c:formatCode>
                <c:ptCount val="23"/>
                <c:pt idx="7">
                  <c:v>9018.4</c:v>
                </c:pt>
                <c:pt idx="8">
                  <c:v>9206</c:v>
                </c:pt>
                <c:pt idx="9">
                  <c:v>9393.5999999999985</c:v>
                </c:pt>
                <c:pt idx="10">
                  <c:v>9581.1999999999989</c:v>
                </c:pt>
                <c:pt idx="11">
                  <c:v>9768.7999999999993</c:v>
                </c:pt>
                <c:pt idx="12">
                  <c:v>9956.4</c:v>
                </c:pt>
                <c:pt idx="13">
                  <c:v>10144</c:v>
                </c:pt>
                <c:pt idx="14">
                  <c:v>10331.599999999999</c:v>
                </c:pt>
                <c:pt idx="15">
                  <c:v>10519.199999999999</c:v>
                </c:pt>
                <c:pt idx="16">
                  <c:v>10706.8</c:v>
                </c:pt>
                <c:pt idx="17">
                  <c:v>10894.4</c:v>
                </c:pt>
                <c:pt idx="18">
                  <c:v>11082</c:v>
                </c:pt>
                <c:pt idx="19">
                  <c:v>11269.599999999999</c:v>
                </c:pt>
                <c:pt idx="20">
                  <c:v>11457.199999999999</c:v>
                </c:pt>
                <c:pt idx="21">
                  <c:v>11644.8</c:v>
                </c:pt>
                <c:pt idx="22">
                  <c:v>11832.4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DB-4DFF-B998-597FE6C23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4828463"/>
        <c:axId val="1474830959"/>
      </c:scatterChart>
      <c:valAx>
        <c:axId val="1474828463"/>
        <c:scaling>
          <c:orientation val="minMax"/>
          <c:max val="2037"/>
          <c:min val="2015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74830959"/>
        <c:crosses val="autoZero"/>
        <c:crossBetween val="midCat"/>
      </c:valAx>
      <c:valAx>
        <c:axId val="1474830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47482846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Extrapolácia trendu  vozidiel v evidencii - jednoduchý lineárny model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'struktura vyjazdy_analyza dopyt'!$D$59:$D$60</c:f>
              <c:strCache>
                <c:ptCount val="2"/>
                <c:pt idx="1">
                  <c:v>počet vozidiel v evidencii - skutočnosť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'struktura vyjazdy_analyza dopyt'!$C$61:$C$83</c:f>
              <c:numCache>
                <c:formatCode>0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xVal>
          <c:yVal>
            <c:numRef>
              <c:f>'struktura vyjazdy_analyza dopyt'!$D$61:$D$83</c:f>
              <c:numCache>
                <c:formatCode>0</c:formatCode>
                <c:ptCount val="23"/>
                <c:pt idx="0">
                  <c:v>2843809</c:v>
                </c:pt>
                <c:pt idx="1">
                  <c:v>2949007</c:v>
                </c:pt>
                <c:pt idx="2">
                  <c:v>3077648</c:v>
                </c:pt>
                <c:pt idx="3">
                  <c:v>3202442</c:v>
                </c:pt>
                <c:pt idx="4">
                  <c:v>3286249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2B-4FDF-8CDB-63D7DEDFDEDF}"/>
            </c:ext>
          </c:extLst>
        </c:ser>
        <c:ser>
          <c:idx val="1"/>
          <c:order val="1"/>
          <c:tx>
            <c:strRef>
              <c:f>'struktura vyjazdy_analyza dopyt'!$E$59:$E$60</c:f>
              <c:strCache>
                <c:ptCount val="2"/>
                <c:pt idx="1">
                  <c:v>počet vozidiel v evidencii - roky ovplyvnené pandémiou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'struktura vyjazdy_analyza dopyt'!$C$61:$C$83</c:f>
              <c:numCache>
                <c:formatCode>0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xVal>
          <c:yVal>
            <c:numRef>
              <c:f>'struktura vyjazdy_analyza dopyt'!$E$61:$E$83</c:f>
              <c:numCache>
                <c:formatCode>0</c:formatCode>
                <c:ptCount val="23"/>
                <c:pt idx="5">
                  <c:v>3346794</c:v>
                </c:pt>
                <c:pt idx="6">
                  <c:v>3436018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2B-4FDF-8CDB-63D7DEDFDEDF}"/>
            </c:ext>
          </c:extLst>
        </c:ser>
        <c:ser>
          <c:idx val="2"/>
          <c:order val="2"/>
          <c:tx>
            <c:strRef>
              <c:f>'struktura vyjazdy_analyza dopyt'!$F$59:$F$60</c:f>
              <c:strCache>
                <c:ptCount val="2"/>
                <c:pt idx="1">
                  <c:v>odhad počtu vozidiel - extrapolácia trendu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'struktura vyjazdy_analyza dopyt'!$C$61:$C$83</c:f>
              <c:numCache>
                <c:formatCode>0</c:formatCode>
                <c:ptCount val="2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</c:numCache>
            </c:numRef>
          </c:xVal>
          <c:yVal>
            <c:numRef>
              <c:f>'struktura vyjazdy_analyza dopyt'!$F$61:$F$83</c:f>
              <c:numCache>
                <c:formatCode>0</c:formatCode>
                <c:ptCount val="23"/>
                <c:pt idx="7">
                  <c:v>3640988.5</c:v>
                </c:pt>
                <c:pt idx="8">
                  <c:v>3754820</c:v>
                </c:pt>
                <c:pt idx="9">
                  <c:v>3868651.5</c:v>
                </c:pt>
                <c:pt idx="10">
                  <c:v>3982483</c:v>
                </c:pt>
                <c:pt idx="11">
                  <c:v>4096314.5</c:v>
                </c:pt>
                <c:pt idx="12">
                  <c:v>4210146</c:v>
                </c:pt>
                <c:pt idx="13">
                  <c:v>4323977.5</c:v>
                </c:pt>
                <c:pt idx="14">
                  <c:v>4437809</c:v>
                </c:pt>
                <c:pt idx="15">
                  <c:v>4551640.5</c:v>
                </c:pt>
                <c:pt idx="16">
                  <c:v>4665472</c:v>
                </c:pt>
                <c:pt idx="17">
                  <c:v>4779303.5</c:v>
                </c:pt>
                <c:pt idx="18">
                  <c:v>4893135</c:v>
                </c:pt>
                <c:pt idx="19">
                  <c:v>5006966.5</c:v>
                </c:pt>
                <c:pt idx="20">
                  <c:v>5120798</c:v>
                </c:pt>
                <c:pt idx="21">
                  <c:v>5234629.5</c:v>
                </c:pt>
                <c:pt idx="22" formatCode="General">
                  <c:v>5348461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2B-4FDF-8CDB-63D7DEDFD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2243951"/>
        <c:axId val="1992243535"/>
      </c:scatterChart>
      <c:valAx>
        <c:axId val="1992243951"/>
        <c:scaling>
          <c:orientation val="minMax"/>
          <c:max val="2037"/>
          <c:min val="20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92243535"/>
        <c:crosses val="autoZero"/>
        <c:crossBetween val="midCat"/>
      </c:valAx>
      <c:valAx>
        <c:axId val="19922435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9922439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407458</xdr:colOff>
      <xdr:row>2</xdr:row>
      <xdr:rowOff>107949</xdr:rowOff>
    </xdr:from>
    <xdr:to>
      <xdr:col>19</xdr:col>
      <xdr:colOff>98424</xdr:colOff>
      <xdr:row>15</xdr:row>
      <xdr:rowOff>169333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119591</xdr:colOff>
      <xdr:row>26</xdr:row>
      <xdr:rowOff>81492</xdr:rowOff>
    </xdr:from>
    <xdr:to>
      <xdr:col>19</xdr:col>
      <xdr:colOff>338667</xdr:colOff>
      <xdr:row>40</xdr:row>
      <xdr:rowOff>127000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187854</xdr:colOff>
      <xdr:row>62</xdr:row>
      <xdr:rowOff>118005</xdr:rowOff>
    </xdr:from>
    <xdr:to>
      <xdr:col>19</xdr:col>
      <xdr:colOff>486833</xdr:colOff>
      <xdr:row>79</xdr:row>
      <xdr:rowOff>148167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mfsr.sk/sk/financie/institut-financnej-politiky/ekonomicke-prognozy/makroekonomicke-prognozy/61-zasadnutie-vyboru-makroekonomicke-prognozy-september-2022.html" TargetMode="External"/><Relationship Id="rId1" Type="http://schemas.openxmlformats.org/officeDocument/2006/relationships/hyperlink" Target="https://firecomm.gov.mb.ca/docs/insurance_grading_recognition_used_rebuilt_fireapparatus_mar2010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fsr.sk/sk/financie/institut-financnej-politiky/ekonomicke-prognozy/makroekonomicke-prognozy/61-zasadnutie-vyboru-makroekonomicke-prognozy-september-2022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showGridLines="0" tabSelected="1" workbookViewId="0">
      <selection activeCell="A6" sqref="A6"/>
    </sheetView>
  </sheetViews>
  <sheetFormatPr defaultRowHeight="14.5" x14ac:dyDescent="0.35"/>
  <cols>
    <col min="1" max="1" width="70.81640625" customWidth="1"/>
    <col min="2" max="2" width="18.54296875" style="11" bestFit="1" customWidth="1"/>
    <col min="3" max="3" width="18.54296875" style="11" customWidth="1"/>
    <col min="4" max="18" width="17.54296875" bestFit="1" customWidth="1"/>
  </cols>
  <sheetData>
    <row r="1" spans="1:18" s="15" customFormat="1" x14ac:dyDescent="0.35">
      <c r="A1" s="15" t="s">
        <v>94</v>
      </c>
      <c r="B1" s="15" t="s">
        <v>89</v>
      </c>
    </row>
    <row r="2" spans="1:18" s="33" customFormat="1" x14ac:dyDescent="0.35">
      <c r="A2" s="34" t="s">
        <v>101</v>
      </c>
      <c r="B2" s="37" t="s">
        <v>128</v>
      </c>
      <c r="C2" s="37"/>
    </row>
    <row r="3" spans="1:18" s="11" customFormat="1" x14ac:dyDescent="0.35">
      <c r="A3" s="11" t="s">
        <v>80</v>
      </c>
      <c r="B3" s="11">
        <v>16</v>
      </c>
    </row>
    <row r="4" spans="1:18" s="11" customFormat="1" x14ac:dyDescent="0.35">
      <c r="A4" s="11" t="s">
        <v>90</v>
      </c>
      <c r="B4" s="11">
        <v>2025</v>
      </c>
    </row>
    <row r="5" spans="1:18" s="11" customFormat="1" x14ac:dyDescent="0.35">
      <c r="A5" t="s">
        <v>98</v>
      </c>
      <c r="B5" s="17">
        <v>0.04</v>
      </c>
      <c r="C5" s="17"/>
    </row>
    <row r="6" spans="1:18" s="11" customFormat="1" x14ac:dyDescent="0.35">
      <c r="A6"/>
      <c r="B6" s="17"/>
      <c r="C6" s="17"/>
    </row>
    <row r="7" spans="1:18" s="11" customFormat="1" x14ac:dyDescent="0.35">
      <c r="A7" s="38"/>
      <c r="B7" s="39"/>
      <c r="C7" s="39"/>
    </row>
    <row r="8" spans="1:18" s="11" customFormat="1" x14ac:dyDescent="0.35">
      <c r="A8" s="38"/>
      <c r="B8" s="39"/>
      <c r="C8" s="39"/>
    </row>
    <row r="9" spans="1:18" s="27" customFormat="1" x14ac:dyDescent="0.35">
      <c r="A9" s="29" t="s">
        <v>179</v>
      </c>
      <c r="B9" s="29" t="s">
        <v>31</v>
      </c>
      <c r="C9" s="29">
        <v>2023</v>
      </c>
      <c r="D9" s="29">
        <v>2024</v>
      </c>
      <c r="E9" s="29">
        <v>2025</v>
      </c>
      <c r="F9" s="29">
        <v>2026</v>
      </c>
      <c r="G9" s="29">
        <v>2027</v>
      </c>
      <c r="H9" s="29">
        <v>2028</v>
      </c>
      <c r="I9" s="29">
        <v>2029</v>
      </c>
      <c r="J9" s="29">
        <v>2030</v>
      </c>
      <c r="K9" s="29">
        <v>2031</v>
      </c>
      <c r="L9" s="29">
        <v>2032</v>
      </c>
      <c r="M9" s="29">
        <v>2033</v>
      </c>
      <c r="N9" s="29">
        <v>2034</v>
      </c>
      <c r="O9" s="29">
        <v>2035</v>
      </c>
      <c r="P9" s="29">
        <v>2036</v>
      </c>
      <c r="Q9" s="29">
        <v>2037</v>
      </c>
      <c r="R9" s="29">
        <v>2038</v>
      </c>
    </row>
    <row r="10" spans="1:18" x14ac:dyDescent="0.35">
      <c r="A10" t="s">
        <v>79</v>
      </c>
      <c r="B10" s="9">
        <f>D10</f>
        <v>57390140</v>
      </c>
      <c r="C10" s="9"/>
      <c r="D10" s="9">
        <f>'vstupné údaje'!D12</f>
        <v>57390140</v>
      </c>
      <c r="E10" s="9"/>
    </row>
    <row r="11" spans="1:18" x14ac:dyDescent="0.35">
      <c r="A11" t="s">
        <v>180</v>
      </c>
      <c r="B11" s="9">
        <f>D11</f>
        <v>57390140</v>
      </c>
      <c r="C11" s="9"/>
      <c r="D11" s="9">
        <f>D10</f>
        <v>57390140</v>
      </c>
      <c r="E11" s="9"/>
    </row>
    <row r="12" spans="1:18" x14ac:dyDescent="0.35">
      <c r="D12" s="11"/>
    </row>
    <row r="13" spans="1:18" x14ac:dyDescent="0.35">
      <c r="D13" s="11"/>
    </row>
    <row r="14" spans="1:18" s="10" customFormat="1" x14ac:dyDescent="0.35">
      <c r="A14" s="15" t="s">
        <v>95</v>
      </c>
      <c r="B14" s="29"/>
      <c r="C14" s="29">
        <v>2023</v>
      </c>
      <c r="D14" s="29">
        <v>2024</v>
      </c>
      <c r="E14" s="29">
        <v>2025</v>
      </c>
      <c r="F14" s="29">
        <v>2026</v>
      </c>
      <c r="G14" s="29">
        <v>2027</v>
      </c>
      <c r="H14" s="29">
        <v>2028</v>
      </c>
      <c r="I14" s="29">
        <v>2029</v>
      </c>
      <c r="J14" s="29">
        <v>2030</v>
      </c>
      <c r="K14" s="29">
        <v>2031</v>
      </c>
      <c r="L14" s="29">
        <v>2032</v>
      </c>
      <c r="M14" s="29">
        <v>2033</v>
      </c>
      <c r="N14" s="29">
        <v>2034</v>
      </c>
      <c r="O14" s="29">
        <v>2035</v>
      </c>
      <c r="P14" s="29">
        <v>2036</v>
      </c>
      <c r="Q14" s="29">
        <v>2037</v>
      </c>
      <c r="R14" s="29">
        <v>2038</v>
      </c>
    </row>
    <row r="15" spans="1:18" x14ac:dyDescent="0.35">
      <c r="A15" t="s">
        <v>81</v>
      </c>
      <c r="D15" s="11"/>
      <c r="R15" s="9">
        <f>'vstupné údaje'!B20</f>
        <v>20086549</v>
      </c>
    </row>
    <row r="16" spans="1:18" x14ac:dyDescent="0.35">
      <c r="D16" s="11"/>
    </row>
    <row r="17" spans="1:19" x14ac:dyDescent="0.35">
      <c r="D17" s="11"/>
    </row>
    <row r="18" spans="1:19" s="15" customFormat="1" x14ac:dyDescent="0.35">
      <c r="A18" s="15" t="s">
        <v>178</v>
      </c>
      <c r="B18" s="15" t="s">
        <v>31</v>
      </c>
      <c r="C18" s="29">
        <v>2023</v>
      </c>
      <c r="D18" s="29">
        <v>2024</v>
      </c>
      <c r="E18" s="29">
        <v>2025</v>
      </c>
      <c r="F18" s="29">
        <v>2026</v>
      </c>
      <c r="G18" s="29">
        <v>2027</v>
      </c>
      <c r="H18" s="29">
        <v>2028</v>
      </c>
      <c r="I18" s="29">
        <v>2029</v>
      </c>
      <c r="J18" s="29">
        <v>2030</v>
      </c>
      <c r="K18" s="29">
        <v>2031</v>
      </c>
      <c r="L18" s="29">
        <v>2032</v>
      </c>
      <c r="M18" s="29">
        <v>2033</v>
      </c>
      <c r="N18" s="29">
        <v>2034</v>
      </c>
      <c r="O18" s="29">
        <v>2035</v>
      </c>
      <c r="P18" s="29">
        <v>2036</v>
      </c>
      <c r="Q18" s="29">
        <v>2037</v>
      </c>
      <c r="R18" s="29">
        <v>2038</v>
      </c>
    </row>
    <row r="19" spans="1:19" s="35" customFormat="1" x14ac:dyDescent="0.35">
      <c r="A19" s="35" t="s">
        <v>84</v>
      </c>
    </row>
    <row r="20" spans="1:19" x14ac:dyDescent="0.35">
      <c r="A20" t="s">
        <v>85</v>
      </c>
      <c r="B20" s="9">
        <f>SUM(C20:R20)</f>
        <v>8308042.8541820785</v>
      </c>
      <c r="C20" s="9">
        <f>'vstupné údaje'!$B$5</f>
        <v>519252.67838637979</v>
      </c>
      <c r="D20" s="9">
        <f>'vstupné údaje'!$B$5</f>
        <v>519252.67838637979</v>
      </c>
      <c r="E20" s="9">
        <f>'vstupné údaje'!$B$5</f>
        <v>519252.67838637979</v>
      </c>
      <c r="F20" s="9">
        <f>'vstupné údaje'!$B$5</f>
        <v>519252.67838637979</v>
      </c>
      <c r="G20" s="9">
        <f>'vstupné údaje'!$B$5</f>
        <v>519252.67838637979</v>
      </c>
      <c r="H20" s="9">
        <f>'vstupné údaje'!$B$5</f>
        <v>519252.67838637979</v>
      </c>
      <c r="I20" s="9">
        <f>'vstupné údaje'!$B$5</f>
        <v>519252.67838637979</v>
      </c>
      <c r="J20" s="9">
        <f>'vstupné údaje'!$B$5</f>
        <v>519252.67838637979</v>
      </c>
      <c r="K20" s="9">
        <f>'vstupné údaje'!$B$5</f>
        <v>519252.67838637979</v>
      </c>
      <c r="L20" s="9">
        <f>'vstupné údaje'!$B$5</f>
        <v>519252.67838637979</v>
      </c>
      <c r="M20" s="9">
        <f>'vstupné údaje'!$B$5</f>
        <v>519252.67838637979</v>
      </c>
      <c r="N20" s="9">
        <f>'vstupné údaje'!$B$5</f>
        <v>519252.67838637979</v>
      </c>
      <c r="O20" s="9">
        <f>'vstupné údaje'!$B$5</f>
        <v>519252.67838637979</v>
      </c>
      <c r="P20" s="9">
        <f>'vstupné údaje'!$B$5</f>
        <v>519252.67838637979</v>
      </c>
      <c r="Q20" s="9">
        <f>'vstupné údaje'!$B$5</f>
        <v>519252.67838637979</v>
      </c>
      <c r="R20" s="9">
        <f>'vstupné údaje'!$B$5</f>
        <v>519252.67838637979</v>
      </c>
    </row>
    <row r="21" spans="1:19" ht="16.5" customHeight="1" x14ac:dyDescent="0.35">
      <c r="A21" s="44" t="s">
        <v>136</v>
      </c>
      <c r="B21" s="9">
        <f>SUM(C21:R21)</f>
        <v>1600000</v>
      </c>
      <c r="C21" s="9">
        <f>'vstupné údaje'!C7</f>
        <v>800000</v>
      </c>
      <c r="D21" s="9">
        <v>800000</v>
      </c>
      <c r="E21" s="9"/>
      <c r="F21" s="9"/>
    </row>
    <row r="22" spans="1:19" x14ac:dyDescent="0.35">
      <c r="A22" t="s">
        <v>181</v>
      </c>
      <c r="B22" s="9">
        <f>SUM(C22:R22)</f>
        <v>9908042.8541820757</v>
      </c>
      <c r="C22" s="9">
        <f>SUM(C20:C21)</f>
        <v>1319252.6783863797</v>
      </c>
      <c r="D22" s="9">
        <f>SUM(D20:D21)</f>
        <v>1319252.6783863797</v>
      </c>
      <c r="E22" s="9">
        <f t="shared" ref="E22:R22" si="0">SUM(E20:E21)</f>
        <v>519252.67838637979</v>
      </c>
      <c r="F22" s="9">
        <f t="shared" si="0"/>
        <v>519252.67838637979</v>
      </c>
      <c r="G22" s="9">
        <f t="shared" si="0"/>
        <v>519252.67838637979</v>
      </c>
      <c r="H22" s="9">
        <f t="shared" si="0"/>
        <v>519252.67838637979</v>
      </c>
      <c r="I22" s="9">
        <f t="shared" si="0"/>
        <v>519252.67838637979</v>
      </c>
      <c r="J22" s="9">
        <f t="shared" si="0"/>
        <v>519252.67838637979</v>
      </c>
      <c r="K22" s="9">
        <f t="shared" si="0"/>
        <v>519252.67838637979</v>
      </c>
      <c r="L22" s="9">
        <f t="shared" si="0"/>
        <v>519252.67838637979</v>
      </c>
      <c r="M22" s="9">
        <f t="shared" si="0"/>
        <v>519252.67838637979</v>
      </c>
      <c r="N22" s="9">
        <f t="shared" si="0"/>
        <v>519252.67838637979</v>
      </c>
      <c r="O22" s="9">
        <f t="shared" si="0"/>
        <v>519252.67838637979</v>
      </c>
      <c r="P22" s="9">
        <f t="shared" si="0"/>
        <v>519252.67838637979</v>
      </c>
      <c r="Q22" s="9">
        <f t="shared" si="0"/>
        <v>519252.67838637979</v>
      </c>
      <c r="R22" s="9">
        <f t="shared" si="0"/>
        <v>519252.67838637979</v>
      </c>
    </row>
    <row r="23" spans="1:19" s="11" customFormat="1" x14ac:dyDescent="0.3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9" s="35" customFormat="1" x14ac:dyDescent="0.35">
      <c r="A24" s="35" t="s">
        <v>88</v>
      </c>
    </row>
    <row r="25" spans="1:19" x14ac:dyDescent="0.35">
      <c r="A25" s="11" t="s">
        <v>85</v>
      </c>
      <c r="B25" s="9">
        <f>SUM(C25:R25)</f>
        <v>1038505.3567727596</v>
      </c>
      <c r="C25" s="9">
        <f>'vstupné údaje'!$B$5</f>
        <v>519252.67838637979</v>
      </c>
      <c r="D25" s="9">
        <f>'vstupné údaje'!$B$5</f>
        <v>519252.67838637979</v>
      </c>
    </row>
    <row r="26" spans="1:19" x14ac:dyDescent="0.35">
      <c r="A26" s="11" t="s">
        <v>86</v>
      </c>
      <c r="B26" s="9">
        <f>SUM(C26:R26)</f>
        <v>800000</v>
      </c>
      <c r="C26" s="9">
        <f>'vstupné údaje'!C7</f>
        <v>800000</v>
      </c>
      <c r="D26" s="9"/>
    </row>
    <row r="27" spans="1:19" x14ac:dyDescent="0.35">
      <c r="A27" t="s">
        <v>102</v>
      </c>
      <c r="B27" s="9">
        <f>SUM(C27:R27)</f>
        <v>4291815.4395602755</v>
      </c>
      <c r="C27" s="9"/>
      <c r="D27" s="5"/>
      <c r="E27" s="5">
        <f>'vstupné údaje'!E4</f>
        <v>2591.7971511636229</v>
      </c>
      <c r="F27" s="5">
        <f>'vstupné údaje'!F4</f>
        <v>2591.7971511636229</v>
      </c>
      <c r="G27" s="5">
        <f>'vstupné údaje'!G4</f>
        <v>3417.1394373348217</v>
      </c>
      <c r="H27" s="5">
        <f>'vstupné údaje'!H4</f>
        <v>14684.250321000633</v>
      </c>
      <c r="I27" s="5">
        <f>'vstupné údaje'!I4</f>
        <v>145331.57182935069</v>
      </c>
      <c r="J27" s="5">
        <f>'vstupné údaje'!J4</f>
        <v>206247.40865168307</v>
      </c>
      <c r="K27" s="5">
        <f>'vstupné údaje'!K4</f>
        <v>266641.58636912174</v>
      </c>
      <c r="L27" s="5">
        <f>'vstupné údaje'!L4</f>
        <v>286657.92770292255</v>
      </c>
      <c r="M27" s="5">
        <f>'vstupné údaje'!M4</f>
        <v>431511.64523112809</v>
      </c>
      <c r="N27" s="5">
        <f>'vstupné údaje'!N4</f>
        <v>530675.82411142578</v>
      </c>
      <c r="O27" s="5">
        <f>'vstupné údaje'!O4</f>
        <v>559670.45420020213</v>
      </c>
      <c r="P27" s="5">
        <f>'vstupné údaje'!P4</f>
        <v>550877.20950246183</v>
      </c>
      <c r="Q27" s="5">
        <f>'vstupné údaje'!Q4</f>
        <v>610292.55478109221</v>
      </c>
      <c r="R27" s="5">
        <f>'vstupné údaje'!R4</f>
        <v>680624.27312022401</v>
      </c>
      <c r="S27" s="11"/>
    </row>
    <row r="28" spans="1:19" x14ac:dyDescent="0.35">
      <c r="A28" t="s">
        <v>181</v>
      </c>
      <c r="B28" s="9">
        <f>SUM(C28:R28)</f>
        <v>6130320.7963330355</v>
      </c>
      <c r="C28" s="9">
        <f>SUM(C25:C27)</f>
        <v>1319252.6783863797</v>
      </c>
      <c r="D28" s="9">
        <f>SUM(D25:D27)</f>
        <v>519252.67838637979</v>
      </c>
      <c r="E28" s="9">
        <f t="shared" ref="E28:R28" si="1">SUM(E25:E27)</f>
        <v>2591.7971511636229</v>
      </c>
      <c r="F28" s="9">
        <f t="shared" si="1"/>
        <v>2591.7971511636229</v>
      </c>
      <c r="G28" s="9">
        <f t="shared" si="1"/>
        <v>3417.1394373348217</v>
      </c>
      <c r="H28" s="9">
        <f t="shared" si="1"/>
        <v>14684.250321000633</v>
      </c>
      <c r="I28" s="9">
        <f t="shared" si="1"/>
        <v>145331.57182935069</v>
      </c>
      <c r="J28" s="9">
        <f t="shared" si="1"/>
        <v>206247.40865168307</v>
      </c>
      <c r="K28" s="9">
        <f t="shared" si="1"/>
        <v>266641.58636912174</v>
      </c>
      <c r="L28" s="9">
        <f t="shared" si="1"/>
        <v>286657.92770292255</v>
      </c>
      <c r="M28" s="9">
        <f t="shared" si="1"/>
        <v>431511.64523112809</v>
      </c>
      <c r="N28" s="9">
        <f t="shared" si="1"/>
        <v>530675.82411142578</v>
      </c>
      <c r="O28" s="9">
        <f t="shared" si="1"/>
        <v>559670.45420020213</v>
      </c>
      <c r="P28" s="9">
        <f t="shared" si="1"/>
        <v>550877.20950246183</v>
      </c>
      <c r="Q28" s="9">
        <f t="shared" si="1"/>
        <v>610292.55478109221</v>
      </c>
      <c r="R28" s="9">
        <f t="shared" si="1"/>
        <v>680624.27312022401</v>
      </c>
    </row>
    <row r="29" spans="1:19" x14ac:dyDescent="0.35">
      <c r="D29" s="11"/>
    </row>
    <row r="30" spans="1:19" s="35" customFormat="1" x14ac:dyDescent="0.35">
      <c r="A30" s="35" t="s">
        <v>91</v>
      </c>
    </row>
    <row r="31" spans="1:19" x14ac:dyDescent="0.35">
      <c r="A31" t="s">
        <v>92</v>
      </c>
      <c r="B31" s="9">
        <f>SUM(C31:R31)</f>
        <v>-2977722.0578490426</v>
      </c>
      <c r="C31" s="9">
        <f>C27+C25-C20</f>
        <v>0</v>
      </c>
      <c r="D31" s="9">
        <f>D27+D25-D20</f>
        <v>0</v>
      </c>
      <c r="E31" s="9">
        <f>E27-E20</f>
        <v>-516660.88123521616</v>
      </c>
      <c r="F31" s="9">
        <f t="shared" ref="F31:R31" si="2">F27-F20</f>
        <v>-516660.88123521616</v>
      </c>
      <c r="G31" s="9">
        <f t="shared" si="2"/>
        <v>-515835.53894904495</v>
      </c>
      <c r="H31" s="9">
        <f t="shared" si="2"/>
        <v>-504568.42806537915</v>
      </c>
      <c r="I31" s="9">
        <f t="shared" si="2"/>
        <v>-373921.10655702907</v>
      </c>
      <c r="J31" s="9">
        <f t="shared" si="2"/>
        <v>-313005.26973469672</v>
      </c>
      <c r="K31" s="9">
        <f t="shared" si="2"/>
        <v>-252611.09201725805</v>
      </c>
      <c r="L31" s="9">
        <f t="shared" si="2"/>
        <v>-232594.75068345724</v>
      </c>
      <c r="M31" s="9">
        <f t="shared" si="2"/>
        <v>-87741.033155251702</v>
      </c>
      <c r="N31" s="9">
        <f t="shared" si="2"/>
        <v>11423.145725045993</v>
      </c>
      <c r="O31" s="9">
        <f t="shared" si="2"/>
        <v>40417.775813822343</v>
      </c>
      <c r="P31" s="9">
        <f t="shared" si="2"/>
        <v>31624.531116082042</v>
      </c>
      <c r="Q31" s="9">
        <f t="shared" si="2"/>
        <v>91039.876394712424</v>
      </c>
      <c r="R31" s="9">
        <f t="shared" si="2"/>
        <v>161371.59473384422</v>
      </c>
    </row>
    <row r="32" spans="1:19" x14ac:dyDescent="0.35">
      <c r="A32" t="s">
        <v>93</v>
      </c>
      <c r="B32" s="9">
        <f>SUM(C32:R32)</f>
        <v>-800000</v>
      </c>
      <c r="C32" s="9">
        <f t="shared" ref="C32:R32" si="3">C26-C21</f>
        <v>0</v>
      </c>
      <c r="D32" s="9">
        <f>D26-D21</f>
        <v>-800000</v>
      </c>
      <c r="E32" s="9">
        <f t="shared" si="3"/>
        <v>0</v>
      </c>
      <c r="F32" s="9">
        <f>F26-F21</f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9">
        <f t="shared" si="3"/>
        <v>0</v>
      </c>
      <c r="M32" s="9">
        <f t="shared" si="3"/>
        <v>0</v>
      </c>
      <c r="N32" s="9">
        <f t="shared" si="3"/>
        <v>0</v>
      </c>
      <c r="O32" s="9">
        <f t="shared" si="3"/>
        <v>0</v>
      </c>
      <c r="P32" s="9">
        <f t="shared" si="3"/>
        <v>0</v>
      </c>
      <c r="Q32" s="9">
        <f t="shared" si="3"/>
        <v>0</v>
      </c>
      <c r="R32" s="9">
        <f t="shared" si="3"/>
        <v>0</v>
      </c>
    </row>
    <row r="33" spans="1:19" s="16" customFormat="1" x14ac:dyDescent="0.35">
      <c r="A33" s="16" t="s">
        <v>189</v>
      </c>
      <c r="B33" s="36">
        <f>SUM(C33:R33)</f>
        <v>-3777722.0578490426</v>
      </c>
      <c r="C33" s="36">
        <f>SUM(C31:C32)</f>
        <v>0</v>
      </c>
      <c r="D33" s="36">
        <f>SUM(D31:D32)</f>
        <v>-800000</v>
      </c>
      <c r="E33" s="36">
        <f>SUM(E31:E32)</f>
        <v>-516660.88123521616</v>
      </c>
      <c r="F33" s="36">
        <f t="shared" ref="F33:R33" si="4">SUM(F31:F32)</f>
        <v>-516660.88123521616</v>
      </c>
      <c r="G33" s="36">
        <f t="shared" si="4"/>
        <v>-515835.53894904495</v>
      </c>
      <c r="H33" s="36">
        <f t="shared" si="4"/>
        <v>-504568.42806537915</v>
      </c>
      <c r="I33" s="36">
        <f t="shared" si="4"/>
        <v>-373921.10655702907</v>
      </c>
      <c r="J33" s="36">
        <f t="shared" si="4"/>
        <v>-313005.26973469672</v>
      </c>
      <c r="K33" s="36">
        <f t="shared" si="4"/>
        <v>-252611.09201725805</v>
      </c>
      <c r="L33" s="36">
        <f t="shared" si="4"/>
        <v>-232594.75068345724</v>
      </c>
      <c r="M33" s="36">
        <f t="shared" si="4"/>
        <v>-87741.033155251702</v>
      </c>
      <c r="N33" s="36">
        <f t="shared" si="4"/>
        <v>11423.145725045993</v>
      </c>
      <c r="O33" s="36">
        <f t="shared" si="4"/>
        <v>40417.775813822343</v>
      </c>
      <c r="P33" s="36">
        <f t="shared" si="4"/>
        <v>31624.531116082042</v>
      </c>
      <c r="Q33" s="36">
        <f t="shared" si="4"/>
        <v>91039.876394712424</v>
      </c>
      <c r="R33" s="36">
        <f t="shared" si="4"/>
        <v>161371.59473384422</v>
      </c>
    </row>
    <row r="34" spans="1:19" x14ac:dyDescent="0.35">
      <c r="B34" s="9"/>
      <c r="D34" s="11"/>
    </row>
    <row r="35" spans="1:19" x14ac:dyDescent="0.35">
      <c r="D35" s="11"/>
    </row>
    <row r="36" spans="1:19" s="15" customFormat="1" x14ac:dyDescent="0.35">
      <c r="A36" s="15" t="s">
        <v>182</v>
      </c>
      <c r="C36" s="29">
        <v>2023</v>
      </c>
      <c r="D36" s="29">
        <v>2024</v>
      </c>
      <c r="E36" s="29">
        <v>2025</v>
      </c>
      <c r="F36" s="29">
        <v>2026</v>
      </c>
      <c r="G36" s="29">
        <v>2027</v>
      </c>
      <c r="H36" s="29">
        <v>2028</v>
      </c>
      <c r="I36" s="29">
        <v>2029</v>
      </c>
      <c r="J36" s="29">
        <v>2030</v>
      </c>
      <c r="K36" s="29">
        <v>2031</v>
      </c>
      <c r="L36" s="29">
        <v>2032</v>
      </c>
      <c r="M36" s="29">
        <v>2033</v>
      </c>
      <c r="N36" s="29">
        <v>2034</v>
      </c>
      <c r="O36" s="29">
        <v>2035</v>
      </c>
      <c r="P36" s="29">
        <v>2036</v>
      </c>
      <c r="Q36" s="29">
        <v>2037</v>
      </c>
      <c r="R36" s="29">
        <v>2038</v>
      </c>
    </row>
    <row r="37" spans="1:19" x14ac:dyDescent="0.35">
      <c r="A37" t="s">
        <v>183</v>
      </c>
    </row>
    <row r="40" spans="1:19" s="15" customFormat="1" x14ac:dyDescent="0.35">
      <c r="A40" s="15" t="s">
        <v>96</v>
      </c>
      <c r="B40" s="15" t="s">
        <v>103</v>
      </c>
      <c r="C40" s="29">
        <v>2023</v>
      </c>
      <c r="D40" s="29">
        <v>2024</v>
      </c>
      <c r="E40" s="29">
        <v>2025</v>
      </c>
      <c r="F40" s="29">
        <v>2026</v>
      </c>
      <c r="G40" s="29">
        <v>2027</v>
      </c>
      <c r="H40" s="29">
        <v>2028</v>
      </c>
      <c r="I40" s="29">
        <v>2029</v>
      </c>
      <c r="J40" s="29">
        <v>2030</v>
      </c>
      <c r="K40" s="29">
        <v>2031</v>
      </c>
      <c r="L40" s="29">
        <v>2032</v>
      </c>
      <c r="M40" s="29">
        <v>2033</v>
      </c>
      <c r="N40" s="29">
        <v>2034</v>
      </c>
      <c r="O40" s="29">
        <v>2035</v>
      </c>
      <c r="P40" s="29">
        <v>2036</v>
      </c>
      <c r="Q40" s="29">
        <v>2037</v>
      </c>
      <c r="R40" s="29">
        <v>2038</v>
      </c>
    </row>
    <row r="41" spans="1:19" x14ac:dyDescent="0.35">
      <c r="A41" t="s">
        <v>184</v>
      </c>
      <c r="B41" s="5">
        <f>C41+NPV($B$5,D41:R41)</f>
        <v>55182826.92307692</v>
      </c>
      <c r="C41" s="5"/>
      <c r="D41" s="9">
        <f>D10</f>
        <v>57390140</v>
      </c>
    </row>
    <row r="42" spans="1:19" x14ac:dyDescent="0.35">
      <c r="A42" t="s">
        <v>186</v>
      </c>
      <c r="B42" s="5">
        <f>C42+NPV($B$5,D42:R42)</f>
        <v>-3308690.8518299363</v>
      </c>
      <c r="C42" s="9">
        <f>C33</f>
        <v>0</v>
      </c>
      <c r="D42" s="9">
        <f>D33</f>
        <v>-800000</v>
      </c>
      <c r="E42" s="9">
        <f>E33</f>
        <v>-516660.88123521616</v>
      </c>
      <c r="F42" s="9">
        <f>F33</f>
        <v>-516660.88123521616</v>
      </c>
      <c r="G42" s="9">
        <f t="shared" ref="G42:R42" si="5">G33</f>
        <v>-515835.53894904495</v>
      </c>
      <c r="H42" s="9">
        <f t="shared" si="5"/>
        <v>-504568.42806537915</v>
      </c>
      <c r="I42" s="9">
        <f t="shared" si="5"/>
        <v>-373921.10655702907</v>
      </c>
      <c r="J42" s="9">
        <f t="shared" si="5"/>
        <v>-313005.26973469672</v>
      </c>
      <c r="K42" s="9">
        <f t="shared" si="5"/>
        <v>-252611.09201725805</v>
      </c>
      <c r="L42" s="9">
        <f t="shared" si="5"/>
        <v>-232594.75068345724</v>
      </c>
      <c r="M42" s="9">
        <f t="shared" si="5"/>
        <v>-87741.033155251702</v>
      </c>
      <c r="N42" s="9">
        <f t="shared" si="5"/>
        <v>11423.145725045993</v>
      </c>
      <c r="O42" s="9">
        <f t="shared" si="5"/>
        <v>40417.775813822343</v>
      </c>
      <c r="P42" s="9">
        <f t="shared" si="5"/>
        <v>31624.531116082042</v>
      </c>
      <c r="Q42" s="9">
        <f t="shared" si="5"/>
        <v>91039.876394712424</v>
      </c>
      <c r="R42" s="9">
        <f t="shared" si="5"/>
        <v>161371.59473384422</v>
      </c>
      <c r="S42" s="9"/>
    </row>
    <row r="43" spans="1:19" x14ac:dyDescent="0.35">
      <c r="A43" t="s">
        <v>185</v>
      </c>
      <c r="B43" s="5">
        <f>C43+NPV($B$5,D43:R43)</f>
        <v>0</v>
      </c>
      <c r="C43" s="5">
        <v>0</v>
      </c>
      <c r="D43" s="5">
        <v>0</v>
      </c>
    </row>
    <row r="44" spans="1:19" x14ac:dyDescent="0.35">
      <c r="A44" t="s">
        <v>69</v>
      </c>
      <c r="B44" s="5">
        <f>C44+NPV($B$5,D44:R44)</f>
        <v>11153347.641710827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9">
        <f>R15</f>
        <v>20086549</v>
      </c>
    </row>
    <row r="45" spans="1:19" x14ac:dyDescent="0.35">
      <c r="A45" t="s">
        <v>97</v>
      </c>
      <c r="B45" s="5">
        <f>C45+NPV($B$5,D45:R45)</f>
        <v>-40720788.429536171</v>
      </c>
      <c r="C45" s="5">
        <v>0</v>
      </c>
      <c r="D45" s="9">
        <f>-D41-D42+D43+D44</f>
        <v>-56590140</v>
      </c>
      <c r="E45" s="9">
        <f>-E41-E42+E43+E44</f>
        <v>516660.88123521616</v>
      </c>
      <c r="F45" s="9">
        <f t="shared" ref="F45:R45" si="6">-F41-F42+F43+F44</f>
        <v>516660.88123521616</v>
      </c>
      <c r="G45" s="9">
        <f>-G41-G42+G43+G44</f>
        <v>515835.53894904495</v>
      </c>
      <c r="H45" s="9">
        <f t="shared" si="6"/>
        <v>504568.42806537915</v>
      </c>
      <c r="I45" s="9">
        <f t="shared" si="6"/>
        <v>373921.10655702907</v>
      </c>
      <c r="J45" s="9">
        <f t="shared" si="6"/>
        <v>313005.26973469672</v>
      </c>
      <c r="K45" s="9">
        <f t="shared" si="6"/>
        <v>252611.09201725805</v>
      </c>
      <c r="L45" s="9">
        <f t="shared" si="6"/>
        <v>232594.75068345724</v>
      </c>
      <c r="M45" s="9">
        <f t="shared" si="6"/>
        <v>87741.033155251702</v>
      </c>
      <c r="N45" s="9">
        <f>-N41-N42+N43+N44</f>
        <v>-11423.145725045993</v>
      </c>
      <c r="O45" s="9">
        <f t="shared" si="6"/>
        <v>-40417.775813822343</v>
      </c>
      <c r="P45" s="9">
        <f t="shared" si="6"/>
        <v>-31624.531116082042</v>
      </c>
      <c r="Q45" s="9">
        <f t="shared" si="6"/>
        <v>-91039.876394712424</v>
      </c>
      <c r="R45" s="9">
        <f t="shared" si="6"/>
        <v>19925177.405266155</v>
      </c>
    </row>
    <row r="47" spans="1:19" x14ac:dyDescent="0.35">
      <c r="A47" t="s">
        <v>99</v>
      </c>
      <c r="B47" s="9">
        <f>-B41-B42+B44</f>
        <v>-40720788.429536156</v>
      </c>
      <c r="C47" s="9"/>
    </row>
    <row r="48" spans="1:19" x14ac:dyDescent="0.35">
      <c r="A48" t="s">
        <v>100</v>
      </c>
      <c r="B48" s="40">
        <f>IRR(C45:R45,1)</f>
        <v>-6.6946125878348806E-2</v>
      </c>
      <c r="C48" s="4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showGridLines="0" workbookViewId="0">
      <selection activeCell="A16" sqref="A16"/>
    </sheetView>
  </sheetViews>
  <sheetFormatPr defaultRowHeight="14.5" customHeight="1" x14ac:dyDescent="0.35"/>
  <cols>
    <col min="1" max="1" width="83.1796875" style="11" bestFit="1" customWidth="1"/>
    <col min="2" max="2" width="17.26953125" style="11" bestFit="1" customWidth="1"/>
    <col min="3" max="3" width="18.6328125" style="11" customWidth="1"/>
    <col min="4" max="4" width="18.7265625" style="11" customWidth="1"/>
    <col min="5" max="17" width="17.54296875" style="11" bestFit="1" customWidth="1"/>
    <col min="18" max="18" width="20.08984375" style="11" customWidth="1"/>
    <col min="19" max="16384" width="8.7265625" style="11"/>
  </cols>
  <sheetData>
    <row r="1" spans="1:20" customFormat="1" ht="14.5" customHeight="1" x14ac:dyDescent="0.35">
      <c r="A1" s="32" t="s">
        <v>36</v>
      </c>
      <c r="C1" s="11"/>
    </row>
    <row r="2" spans="1:20" customFormat="1" ht="14.5" customHeight="1" x14ac:dyDescent="0.35">
      <c r="C2" s="11"/>
    </row>
    <row r="3" spans="1:20" customFormat="1" ht="14.5" customHeight="1" x14ac:dyDescent="0.35">
      <c r="A3" s="15" t="s">
        <v>78</v>
      </c>
      <c r="B3" s="15" t="s">
        <v>35</v>
      </c>
      <c r="C3" s="15">
        <v>2023</v>
      </c>
      <c r="D3" s="15">
        <v>2024</v>
      </c>
      <c r="E3" s="15" t="s">
        <v>133</v>
      </c>
      <c r="F3" s="15">
        <v>2026</v>
      </c>
      <c r="G3" s="15">
        <v>2027</v>
      </c>
      <c r="H3" s="15">
        <v>2028</v>
      </c>
      <c r="I3" s="15">
        <v>2029</v>
      </c>
      <c r="J3" s="15">
        <v>2030</v>
      </c>
      <c r="K3" s="15">
        <v>2031</v>
      </c>
      <c r="L3" s="15">
        <v>2032</v>
      </c>
      <c r="M3" s="15">
        <v>2033</v>
      </c>
      <c r="N3" s="15">
        <v>2034</v>
      </c>
      <c r="O3" s="15">
        <v>2035</v>
      </c>
      <c r="P3" s="15">
        <v>2036</v>
      </c>
      <c r="Q3" s="15">
        <v>2037</v>
      </c>
      <c r="R3" s="15">
        <v>2038</v>
      </c>
      <c r="S3" s="15" t="s">
        <v>37</v>
      </c>
      <c r="T3" s="15" t="s">
        <v>38</v>
      </c>
    </row>
    <row r="4" spans="1:20" ht="14.5" customHeight="1" x14ac:dyDescent="0.35">
      <c r="A4" s="2" t="s">
        <v>134</v>
      </c>
      <c r="B4" s="2"/>
      <c r="C4" s="2"/>
      <c r="D4" s="2"/>
      <c r="E4" s="9">
        <f>AVERAGE('servis podľa veku_bez scanie'!B101:D101)/62*80</f>
        <v>2591.7971511636229</v>
      </c>
      <c r="F4" s="9">
        <f>AVERAGE('servis podľa veku_bez scanie'!B101:D101)/62*80</f>
        <v>2591.7971511636229</v>
      </c>
      <c r="G4" s="9">
        <f>AVERAGE('servis podľa veku_bez scanie'!C101:E101)/62*80</f>
        <v>3417.1394373348217</v>
      </c>
      <c r="H4" s="9">
        <f>AVERAGE('servis podľa veku_bez scanie'!D101:F101)/62*80</f>
        <v>14684.250321000633</v>
      </c>
      <c r="I4" s="9">
        <f>AVERAGE('servis podľa veku_bez scanie'!E101:G101)/62*80</f>
        <v>145331.57182935069</v>
      </c>
      <c r="J4" s="9">
        <f>AVERAGE('servis podľa veku_bez scanie'!F101:H101)/62*80</f>
        <v>206247.40865168307</v>
      </c>
      <c r="K4" s="9">
        <f>AVERAGE('servis podľa veku_bez scanie'!G101:I101)/62*80</f>
        <v>266641.58636912174</v>
      </c>
      <c r="L4" s="9">
        <f>AVERAGE('servis podľa veku_bez scanie'!H101:J101)/62*80</f>
        <v>286657.92770292255</v>
      </c>
      <c r="M4" s="9">
        <f>AVERAGE('servis podľa veku_bez scanie'!I101:K101)/62*80</f>
        <v>431511.64523112809</v>
      </c>
      <c r="N4" s="9">
        <f>AVERAGE('servis podľa veku_bez scanie'!J101:L101)/62*80</f>
        <v>530675.82411142578</v>
      </c>
      <c r="O4" s="9">
        <f>AVERAGE('servis podľa veku_bez scanie'!K101:M101)/62*80</f>
        <v>559670.45420020213</v>
      </c>
      <c r="P4" s="9">
        <f>AVERAGE('servis podľa veku_bez scanie'!L101:N101)/62*80</f>
        <v>550877.20950246183</v>
      </c>
      <c r="Q4" s="9">
        <f>AVERAGE('servis podľa veku_bez scanie'!M101:O101)/62*80</f>
        <v>610292.55478109221</v>
      </c>
      <c r="R4" s="9">
        <f>AVERAGE('servis podľa veku_bez scanie'!N101:P101)/62*80</f>
        <v>680624.27312022401</v>
      </c>
      <c r="S4" s="14" t="s">
        <v>50</v>
      </c>
    </row>
    <row r="5" spans="1:20" ht="14.5" customHeight="1" x14ac:dyDescent="0.35">
      <c r="A5" s="11" t="s">
        <v>135</v>
      </c>
      <c r="B5" s="9">
        <f>AVERAGE('servis podľa rokov_bez scanie'!M74:O74)</f>
        <v>519252.67838637979</v>
      </c>
      <c r="C5" s="9">
        <f>AVERAGE('servis podľa rokov_bez scanie'!M74:O74)</f>
        <v>519252.67838637979</v>
      </c>
      <c r="D5" s="9">
        <f>AVERAGE('servis podľa rokov_bez scanie'!M74:O74)</f>
        <v>519252.67838637979</v>
      </c>
      <c r="S5" s="14" t="s">
        <v>41</v>
      </c>
    </row>
    <row r="6" spans="1:20" ht="14.5" customHeight="1" x14ac:dyDescent="0.35">
      <c r="A6" s="11" t="s">
        <v>34</v>
      </c>
      <c r="D6" s="9"/>
      <c r="E6" s="9">
        <f t="shared" ref="E6:J6" si="0">$B$5-E4</f>
        <v>516660.88123521616</v>
      </c>
      <c r="F6" s="9">
        <f>$B$5-F4</f>
        <v>516660.88123521616</v>
      </c>
      <c r="G6" s="9">
        <f>$B$5-G4</f>
        <v>515835.53894904495</v>
      </c>
      <c r="H6" s="9">
        <f t="shared" si="0"/>
        <v>504568.42806537915</v>
      </c>
      <c r="I6" s="9">
        <f t="shared" si="0"/>
        <v>373921.10655702907</v>
      </c>
      <c r="J6" s="9">
        <f t="shared" si="0"/>
        <v>313005.26973469672</v>
      </c>
      <c r="K6" s="9">
        <f t="shared" ref="K6:R6" si="1">$B$5-K4</f>
        <v>252611.09201725805</v>
      </c>
      <c r="L6" s="9">
        <f t="shared" si="1"/>
        <v>232594.75068345724</v>
      </c>
      <c r="M6" s="9">
        <f t="shared" si="1"/>
        <v>87741.033155251702</v>
      </c>
      <c r="N6" s="9">
        <f t="shared" si="1"/>
        <v>-11423.145725045993</v>
      </c>
      <c r="O6" s="9">
        <f t="shared" si="1"/>
        <v>-40417.775813822343</v>
      </c>
      <c r="P6" s="9">
        <f t="shared" si="1"/>
        <v>-31624.531116082042</v>
      </c>
      <c r="Q6" s="9">
        <f t="shared" si="1"/>
        <v>-91039.876394712424</v>
      </c>
      <c r="R6" s="9">
        <f t="shared" si="1"/>
        <v>-161371.59473384422</v>
      </c>
      <c r="S6" s="11" t="s">
        <v>68</v>
      </c>
    </row>
    <row r="7" spans="1:20" ht="14.5" customHeight="1" x14ac:dyDescent="0.35">
      <c r="A7" s="2" t="s">
        <v>87</v>
      </c>
      <c r="C7" s="9">
        <f>100000*8</f>
        <v>800000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S7" s="11" t="s">
        <v>40</v>
      </c>
    </row>
    <row r="8" spans="1:20" ht="14.5" customHeight="1" x14ac:dyDescent="0.35">
      <c r="A8" s="2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20" ht="14.5" customHeight="1" x14ac:dyDescent="0.35">
      <c r="A9" s="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20" s="27" customFormat="1" ht="14.5" customHeight="1" x14ac:dyDescent="0.35">
      <c r="A10" s="29" t="s">
        <v>184</v>
      </c>
      <c r="B10" s="15" t="s">
        <v>35</v>
      </c>
      <c r="C10" s="15">
        <v>2023</v>
      </c>
      <c r="D10" s="15">
        <v>2024</v>
      </c>
      <c r="E10" s="15">
        <v>2025</v>
      </c>
      <c r="F10" s="15">
        <v>2026</v>
      </c>
      <c r="G10" s="15">
        <v>2027</v>
      </c>
      <c r="H10" s="15">
        <v>2028</v>
      </c>
      <c r="I10" s="15">
        <v>2029</v>
      </c>
      <c r="J10" s="15">
        <v>2030</v>
      </c>
      <c r="K10" s="15">
        <v>2031</v>
      </c>
      <c r="L10" s="15">
        <v>2032</v>
      </c>
      <c r="M10" s="15">
        <v>2033</v>
      </c>
      <c r="N10" s="15">
        <v>2034</v>
      </c>
      <c r="O10" s="15">
        <v>2035</v>
      </c>
      <c r="P10" s="15">
        <v>2036</v>
      </c>
      <c r="Q10" s="15">
        <v>2037</v>
      </c>
      <c r="R10" s="15">
        <v>2038</v>
      </c>
      <c r="S10" s="15" t="s">
        <v>37</v>
      </c>
      <c r="T10" s="15" t="s">
        <v>38</v>
      </c>
    </row>
    <row r="11" spans="1:20" s="1" customFormat="1" ht="14.5" customHeight="1" x14ac:dyDescent="0.35">
      <c r="A11" s="1" t="s">
        <v>187</v>
      </c>
      <c r="C11" s="43"/>
      <c r="D11" s="43">
        <f>(632050*80)</f>
        <v>50564000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14.5" customHeight="1" x14ac:dyDescent="0.35">
      <c r="A12" s="1" t="s">
        <v>188</v>
      </c>
      <c r="C12" s="5"/>
      <c r="D12" s="5">
        <f>(632050*80)*'servis podľa veku_bez scanie'!P91</f>
        <v>57390140</v>
      </c>
      <c r="E12" s="9"/>
      <c r="F12" s="9"/>
      <c r="G12" s="9"/>
      <c r="S12" s="11" t="s">
        <v>39</v>
      </c>
    </row>
    <row r="13" spans="1:20" ht="14.5" customHeight="1" x14ac:dyDescent="0.35">
      <c r="D13" s="9"/>
      <c r="E13" s="9"/>
      <c r="F13" s="9"/>
      <c r="G13" s="9"/>
    </row>
    <row r="15" spans="1:20" ht="14.5" customHeight="1" x14ac:dyDescent="0.35">
      <c r="A15" s="29" t="s">
        <v>69</v>
      </c>
      <c r="B15" s="27" t="s">
        <v>71</v>
      </c>
      <c r="C15" s="27"/>
      <c r="D15" s="31" t="s">
        <v>37</v>
      </c>
      <c r="E15" s="31"/>
      <c r="F15" s="31"/>
      <c r="G15" s="31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20" ht="14.5" customHeight="1" x14ac:dyDescent="0.35">
      <c r="A16" s="11" t="s">
        <v>70</v>
      </c>
      <c r="B16" s="11">
        <v>20</v>
      </c>
      <c r="D16" s="13" t="s">
        <v>76</v>
      </c>
    </row>
    <row r="17" spans="1:17" ht="14.5" customHeight="1" x14ac:dyDescent="0.35">
      <c r="A17" s="11" t="s">
        <v>83</v>
      </c>
      <c r="B17" s="11">
        <v>16</v>
      </c>
      <c r="D17" s="13"/>
    </row>
    <row r="18" spans="1:17" ht="14.5" customHeight="1" x14ac:dyDescent="0.35">
      <c r="A18" s="11" t="s">
        <v>82</v>
      </c>
      <c r="B18" s="11">
        <f>COUNTA(E3:Q3)</f>
        <v>13</v>
      </c>
    </row>
    <row r="19" spans="1:17" ht="14.5" customHeight="1" x14ac:dyDescent="0.35">
      <c r="A19" s="11" t="s">
        <v>77</v>
      </c>
      <c r="B19" s="17">
        <f>(B16-B18)/B16</f>
        <v>0.35</v>
      </c>
      <c r="C19" s="17"/>
    </row>
    <row r="20" spans="1:17" ht="14.5" customHeight="1" x14ac:dyDescent="0.35">
      <c r="A20" s="11" t="s">
        <v>69</v>
      </c>
      <c r="B20" s="9">
        <f>B19*D12</f>
        <v>20086549</v>
      </c>
      <c r="C20" s="9"/>
    </row>
    <row r="22" spans="1:17" s="10" customFormat="1" x14ac:dyDescent="0.35">
      <c r="A22" s="15" t="s">
        <v>24</v>
      </c>
      <c r="Q22" s="10" t="s">
        <v>37</v>
      </c>
    </row>
    <row r="23" spans="1:17" s="24" customFormat="1" x14ac:dyDescent="0.35">
      <c r="A23" s="23">
        <v>2008</v>
      </c>
      <c r="B23" s="23">
        <v>2009</v>
      </c>
      <c r="C23" s="23">
        <v>2010</v>
      </c>
      <c r="D23" s="23">
        <v>2011</v>
      </c>
      <c r="E23" s="23">
        <v>2012</v>
      </c>
      <c r="F23" s="23">
        <v>2013</v>
      </c>
      <c r="G23" s="23">
        <v>2014</v>
      </c>
      <c r="H23" s="23">
        <v>2015</v>
      </c>
      <c r="I23" s="23">
        <v>2016</v>
      </c>
      <c r="J23" s="23">
        <v>2017</v>
      </c>
      <c r="K23" s="23">
        <v>2018</v>
      </c>
      <c r="L23" s="23">
        <v>2019</v>
      </c>
      <c r="M23" s="23">
        <v>2020</v>
      </c>
      <c r="N23" s="23">
        <v>2021</v>
      </c>
      <c r="O23" s="23" t="s">
        <v>25</v>
      </c>
      <c r="P23" s="42" t="s">
        <v>129</v>
      </c>
    </row>
    <row r="24" spans="1:17" x14ac:dyDescent="0.35">
      <c r="A24" s="7">
        <v>4.5876307055422894</v>
      </c>
      <c r="B24" s="8">
        <v>1.6236443564852099</v>
      </c>
      <c r="C24" s="8">
        <v>0.96309892889521187</v>
      </c>
      <c r="D24" s="8">
        <v>3.908765900839728</v>
      </c>
      <c r="E24" s="8">
        <v>3.6150362463793551</v>
      </c>
      <c r="F24" s="8">
        <v>1.3889746916249779</v>
      </c>
      <c r="G24" s="8">
        <v>-6.9055864163058978E-2</v>
      </c>
      <c r="H24" s="8">
        <v>-0.32875013973152623</v>
      </c>
      <c r="I24" s="8">
        <v>-0.51947654708678348</v>
      </c>
      <c r="J24" s="8">
        <v>1.3083863171367671</v>
      </c>
      <c r="K24" s="8">
        <v>2.4942252144670052</v>
      </c>
      <c r="L24" s="8">
        <v>2.6775097969561568</v>
      </c>
      <c r="M24" s="8">
        <v>1.9325023003922803</v>
      </c>
      <c r="N24" s="8">
        <v>3.1603780536386905</v>
      </c>
      <c r="O24" s="8">
        <v>12.434449026970618</v>
      </c>
      <c r="P24" s="8">
        <v>13.5</v>
      </c>
      <c r="Q24" s="13" t="s">
        <v>48</v>
      </c>
    </row>
    <row r="25" spans="1:17" ht="14.5" customHeight="1" x14ac:dyDescent="0.35">
      <c r="A25" s="11">
        <f>A24/100</f>
        <v>4.5876307055422894E-2</v>
      </c>
      <c r="B25" s="11">
        <f t="shared" ref="B25:P25" si="2">B24/100</f>
        <v>1.6236443564852099E-2</v>
      </c>
      <c r="C25" s="11">
        <f t="shared" si="2"/>
        <v>9.6309892889521187E-3</v>
      </c>
      <c r="D25" s="11">
        <f t="shared" si="2"/>
        <v>3.908765900839728E-2</v>
      </c>
      <c r="E25" s="11">
        <f t="shared" si="2"/>
        <v>3.6150362463793551E-2</v>
      </c>
      <c r="F25" s="11">
        <f t="shared" si="2"/>
        <v>1.3889746916249779E-2</v>
      </c>
      <c r="G25" s="11">
        <f t="shared" si="2"/>
        <v>-6.9055864163058978E-4</v>
      </c>
      <c r="H25" s="11">
        <f t="shared" si="2"/>
        <v>-3.2875013973152623E-3</v>
      </c>
      <c r="I25" s="11">
        <f t="shared" si="2"/>
        <v>-5.1947654708678348E-3</v>
      </c>
      <c r="J25" s="11">
        <f t="shared" si="2"/>
        <v>1.3083863171367671E-2</v>
      </c>
      <c r="K25" s="11">
        <f t="shared" si="2"/>
        <v>2.4942252144670052E-2</v>
      </c>
      <c r="L25" s="11">
        <f t="shared" si="2"/>
        <v>2.6775097969561568E-2</v>
      </c>
      <c r="M25" s="11">
        <f t="shared" si="2"/>
        <v>1.9325023003922803E-2</v>
      </c>
      <c r="N25" s="11">
        <f t="shared" si="2"/>
        <v>3.1603780536386905E-2</v>
      </c>
      <c r="O25" s="11">
        <f t="shared" si="2"/>
        <v>0.12434449026970619</v>
      </c>
      <c r="P25" s="11">
        <f t="shared" si="2"/>
        <v>0.13500000000000001</v>
      </c>
    </row>
    <row r="26" spans="1:17" ht="14.5" customHeight="1" x14ac:dyDescent="0.35">
      <c r="A26" s="11">
        <f>A25+1</f>
        <v>1.0458763070554229</v>
      </c>
      <c r="B26" s="11">
        <f t="shared" ref="B26:P26" si="3">B25+1</f>
        <v>1.0162364435648521</v>
      </c>
      <c r="C26" s="11">
        <f t="shared" si="3"/>
        <v>1.0096309892889521</v>
      </c>
      <c r="D26" s="11">
        <f t="shared" si="3"/>
        <v>1.0390876590083973</v>
      </c>
      <c r="E26" s="11">
        <f t="shared" si="3"/>
        <v>1.0361503624637936</v>
      </c>
      <c r="F26" s="11">
        <f t="shared" si="3"/>
        <v>1.0138897469162498</v>
      </c>
      <c r="G26" s="11">
        <f t="shared" si="3"/>
        <v>0.99930944135836941</v>
      </c>
      <c r="H26" s="11">
        <f t="shared" si="3"/>
        <v>0.99671249860268474</v>
      </c>
      <c r="I26" s="11">
        <f t="shared" si="3"/>
        <v>0.99480523452913217</v>
      </c>
      <c r="J26" s="11">
        <f t="shared" si="3"/>
        <v>1.0130838631713677</v>
      </c>
      <c r="K26" s="11">
        <f t="shared" si="3"/>
        <v>1.0249422521446701</v>
      </c>
      <c r="L26" s="11">
        <f t="shared" si="3"/>
        <v>1.0267750979695616</v>
      </c>
      <c r="M26" s="11">
        <f t="shared" si="3"/>
        <v>1.0193250230039228</v>
      </c>
      <c r="N26" s="11">
        <f t="shared" si="3"/>
        <v>1.0316037805363869</v>
      </c>
      <c r="O26" s="11">
        <f t="shared" si="3"/>
        <v>1.1243444902697062</v>
      </c>
      <c r="P26" s="11">
        <f t="shared" si="3"/>
        <v>1.135</v>
      </c>
    </row>
    <row r="32" spans="1:17" ht="14.5" customHeight="1" x14ac:dyDescent="0.35">
      <c r="B32" s="41"/>
    </row>
    <row r="33" spans="2:17" ht="14.5" customHeight="1" x14ac:dyDescent="0.35">
      <c r="B33" s="41"/>
    </row>
    <row r="34" spans="2:17" ht="14.5" customHeight="1" x14ac:dyDescent="0.35">
      <c r="B34" s="41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2:17" ht="14.5" customHeight="1" x14ac:dyDescent="0.35">
      <c r="Q35" s="12" t="e">
        <f>#REF!</f>
        <v>#REF!</v>
      </c>
    </row>
  </sheetData>
  <hyperlinks>
    <hyperlink ref="S5" location="'servis podľa rokov'!M72" display="dáta o servise'!m72"/>
    <hyperlink ref="S4" location="'servis podľa veku_bez scanie'!B101" display="štruktúra podľa veku_bez scanie'!b101"/>
    <hyperlink ref="D16" r:id="rId1"/>
    <hyperlink ref="Q24" r:id="rId2" location="collapse-395841664808729543 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showGridLines="0" zoomScale="60" zoomScaleNormal="60" workbookViewId="0">
      <selection activeCell="E32" sqref="E32"/>
    </sheetView>
  </sheetViews>
  <sheetFormatPr defaultRowHeight="14.5" x14ac:dyDescent="0.35"/>
  <cols>
    <col min="1" max="1" width="40.6328125" customWidth="1"/>
    <col min="2" max="2" width="44" bestFit="1" customWidth="1"/>
    <col min="3" max="6" width="12.6328125" bestFit="1" customWidth="1"/>
    <col min="7" max="9" width="13.26953125" bestFit="1" customWidth="1"/>
    <col min="10" max="14" width="13.08984375" bestFit="1" customWidth="1"/>
    <col min="15" max="16" width="14.81640625" bestFit="1" customWidth="1"/>
    <col min="17" max="17" width="188.54296875" bestFit="1" customWidth="1"/>
    <col min="18" max="18" width="12.453125" bestFit="1" customWidth="1"/>
  </cols>
  <sheetData>
    <row r="1" spans="1:16" s="10" customFormat="1" x14ac:dyDescent="0.35">
      <c r="B1" s="15" t="s">
        <v>44</v>
      </c>
    </row>
    <row r="2" spans="1:16" s="18" customFormat="1" x14ac:dyDescent="0.35">
      <c r="A2" s="30" t="s">
        <v>3</v>
      </c>
      <c r="B2" s="18" t="s">
        <v>4</v>
      </c>
      <c r="C2" s="18" t="s">
        <v>5</v>
      </c>
      <c r="D2" s="18" t="s">
        <v>6</v>
      </c>
      <c r="E2" s="18" t="s">
        <v>7</v>
      </c>
      <c r="F2" s="18" t="s">
        <v>8</v>
      </c>
      <c r="G2" s="18" t="s">
        <v>9</v>
      </c>
      <c r="H2" s="18" t="s">
        <v>10</v>
      </c>
      <c r="I2" s="18" t="s">
        <v>11</v>
      </c>
      <c r="J2" s="18" t="s">
        <v>12</v>
      </c>
      <c r="K2" s="18" t="s">
        <v>13</v>
      </c>
      <c r="L2" s="18" t="s">
        <v>14</v>
      </c>
      <c r="M2" s="18" t="s">
        <v>15</v>
      </c>
      <c r="N2" s="18" t="s">
        <v>16</v>
      </c>
      <c r="O2" s="18" t="s">
        <v>17</v>
      </c>
      <c r="P2" s="18" t="s">
        <v>18</v>
      </c>
    </row>
    <row r="3" spans="1:16" s="22" customFormat="1" x14ac:dyDescent="0.35">
      <c r="A3" s="20" t="s">
        <v>42</v>
      </c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  <c r="L3" s="21">
        <v>2018</v>
      </c>
      <c r="M3" s="21">
        <v>2019</v>
      </c>
      <c r="N3" s="21">
        <v>2020</v>
      </c>
      <c r="O3" s="21">
        <v>2021</v>
      </c>
      <c r="P3" s="21">
        <v>2022</v>
      </c>
    </row>
    <row r="4" spans="1:16" x14ac:dyDescent="0.35">
      <c r="A4" s="3">
        <v>42274</v>
      </c>
      <c r="B4" s="5"/>
      <c r="C4" s="5">
        <v>16.52</v>
      </c>
      <c r="D4" s="5">
        <v>740.7700000000001</v>
      </c>
      <c r="E4" s="5">
        <v>5488.66</v>
      </c>
      <c r="F4" s="5">
        <v>5.0999999999999996</v>
      </c>
      <c r="G4" s="5">
        <v>8031.6999999999989</v>
      </c>
      <c r="H4" s="5">
        <v>3011.9699999999993</v>
      </c>
      <c r="I4" s="5">
        <v>890.72</v>
      </c>
      <c r="J4" s="5">
        <v>960.06000000000006</v>
      </c>
      <c r="K4" s="5">
        <v>996.59</v>
      </c>
      <c r="L4" s="5">
        <v>3594.23</v>
      </c>
      <c r="M4" s="5">
        <v>2605.6099999999997</v>
      </c>
      <c r="N4" s="5">
        <v>8906.9499999999989</v>
      </c>
      <c r="O4" s="5">
        <v>2413.1800000000003</v>
      </c>
      <c r="P4" s="5">
        <v>977.82</v>
      </c>
    </row>
    <row r="5" spans="1:16" x14ac:dyDescent="0.35">
      <c r="A5" s="3">
        <v>42310</v>
      </c>
      <c r="B5" s="5"/>
      <c r="C5" s="5"/>
      <c r="D5" s="5"/>
      <c r="E5" s="5"/>
      <c r="F5" s="5"/>
      <c r="G5" s="5">
        <v>194.44</v>
      </c>
      <c r="H5" s="5">
        <v>2773.1600000000003</v>
      </c>
      <c r="I5" s="5">
        <v>2622.71</v>
      </c>
      <c r="J5" s="5">
        <v>3933.7200000000003</v>
      </c>
      <c r="K5" s="5">
        <v>6035.2300000000005</v>
      </c>
      <c r="L5" s="5">
        <v>1574.2399999999998</v>
      </c>
      <c r="M5" s="5">
        <v>5723.39</v>
      </c>
      <c r="N5" s="5">
        <v>942.76</v>
      </c>
      <c r="O5" s="5">
        <v>1340.47</v>
      </c>
      <c r="P5" s="5">
        <v>1990.6200000000001</v>
      </c>
    </row>
    <row r="6" spans="1:16" x14ac:dyDescent="0.35">
      <c r="A6" s="3">
        <v>42311</v>
      </c>
      <c r="B6" s="5"/>
      <c r="C6" s="5"/>
      <c r="D6" s="5"/>
      <c r="E6" s="5"/>
      <c r="F6" s="5"/>
      <c r="G6" s="5">
        <v>2234.92</v>
      </c>
      <c r="H6" s="5">
        <v>3655.91</v>
      </c>
      <c r="I6" s="5">
        <v>2706.7900000000004</v>
      </c>
      <c r="J6" s="5">
        <v>2075.33</v>
      </c>
      <c r="K6" s="5">
        <v>7337.0700000000006</v>
      </c>
      <c r="L6" s="5">
        <v>81.45</v>
      </c>
      <c r="M6" s="5">
        <v>1860.1899999999998</v>
      </c>
      <c r="N6" s="5">
        <v>1997.44</v>
      </c>
      <c r="O6" s="5">
        <v>11177.730000000001</v>
      </c>
      <c r="P6" s="5">
        <v>6353.27</v>
      </c>
    </row>
    <row r="7" spans="1:16" x14ac:dyDescent="0.35">
      <c r="A7" s="3">
        <v>42314</v>
      </c>
      <c r="B7" s="5"/>
      <c r="C7" s="5"/>
      <c r="D7" s="5"/>
      <c r="E7" s="5"/>
      <c r="F7" s="5"/>
      <c r="G7" s="5">
        <v>4158.51</v>
      </c>
      <c r="H7" s="5">
        <v>3194.95</v>
      </c>
      <c r="I7" s="5">
        <v>2579.75</v>
      </c>
      <c r="J7" s="5">
        <v>1858.46</v>
      </c>
      <c r="K7" s="5">
        <v>802.09</v>
      </c>
      <c r="L7" s="5">
        <v>5814.58</v>
      </c>
      <c r="M7" s="5">
        <v>1343.46</v>
      </c>
      <c r="N7" s="5">
        <v>2093.37</v>
      </c>
      <c r="O7" s="5">
        <v>6787.5</v>
      </c>
      <c r="P7" s="5">
        <v>2614.2799999999997</v>
      </c>
    </row>
    <row r="8" spans="1:16" x14ac:dyDescent="0.35">
      <c r="A8" s="3">
        <v>42315</v>
      </c>
      <c r="B8" s="5"/>
      <c r="C8" s="5"/>
      <c r="D8" s="5"/>
      <c r="E8" s="5"/>
      <c r="F8" s="5"/>
      <c r="G8" s="5">
        <v>3780.91</v>
      </c>
      <c r="H8" s="5">
        <v>3647.9399999999996</v>
      </c>
      <c r="I8" s="5">
        <v>1639.44</v>
      </c>
      <c r="J8" s="5">
        <v>1614.98</v>
      </c>
      <c r="K8" s="5">
        <v>1335</v>
      </c>
      <c r="L8" s="5">
        <v>5136.8999999999996</v>
      </c>
      <c r="M8" s="5">
        <v>3251.85</v>
      </c>
      <c r="N8" s="5">
        <v>4789.71</v>
      </c>
      <c r="O8" s="5">
        <v>2028.07</v>
      </c>
      <c r="P8" s="5"/>
    </row>
    <row r="9" spans="1:16" x14ac:dyDescent="0.35">
      <c r="A9" s="3">
        <v>42316</v>
      </c>
      <c r="B9" s="5"/>
      <c r="C9" s="5"/>
      <c r="D9" s="5"/>
      <c r="E9" s="5"/>
      <c r="F9" s="5"/>
      <c r="G9" s="5">
        <v>4250</v>
      </c>
      <c r="H9" s="5">
        <v>2680.0200000000004</v>
      </c>
      <c r="I9" s="5">
        <v>2201.11</v>
      </c>
      <c r="J9" s="5">
        <v>2982.52</v>
      </c>
      <c r="K9" s="5">
        <v>4490.3099999999995</v>
      </c>
      <c r="L9" s="5">
        <v>1813.95</v>
      </c>
      <c r="M9" s="5">
        <v>1941.9899999999998</v>
      </c>
      <c r="N9" s="5">
        <v>2568.4300000000003</v>
      </c>
      <c r="O9" s="5">
        <v>4818.9399999999996</v>
      </c>
      <c r="P9" s="5">
        <v>8240.77</v>
      </c>
    </row>
    <row r="10" spans="1:16" x14ac:dyDescent="0.35">
      <c r="A10" s="3">
        <v>42319</v>
      </c>
      <c r="B10" s="5"/>
      <c r="C10" s="5"/>
      <c r="D10" s="5"/>
      <c r="E10" s="5"/>
      <c r="F10" s="5"/>
      <c r="G10" s="5">
        <v>3070.7799999999997</v>
      </c>
      <c r="H10" s="5">
        <v>5583.3600000000006</v>
      </c>
      <c r="I10" s="5">
        <v>1857.23</v>
      </c>
      <c r="J10" s="5">
        <v>3947.0200000000004</v>
      </c>
      <c r="K10" s="5">
        <v>5004.67</v>
      </c>
      <c r="L10" s="5">
        <v>10295.83</v>
      </c>
      <c r="M10" s="5">
        <v>4282.07</v>
      </c>
      <c r="N10" s="5">
        <v>3333.08</v>
      </c>
      <c r="O10" s="5">
        <v>14246.9</v>
      </c>
      <c r="P10" s="5">
        <v>3111.56</v>
      </c>
    </row>
    <row r="11" spans="1:16" x14ac:dyDescent="0.35">
      <c r="A11" s="3">
        <v>42320</v>
      </c>
      <c r="B11" s="5"/>
      <c r="C11" s="5"/>
      <c r="D11" s="5"/>
      <c r="E11" s="5"/>
      <c r="F11" s="5"/>
      <c r="G11" s="5">
        <v>1655.1699999999998</v>
      </c>
      <c r="H11" s="5">
        <v>103.3</v>
      </c>
      <c r="I11" s="5"/>
      <c r="J11" s="5">
        <v>2932.67</v>
      </c>
      <c r="K11" s="5">
        <v>91.5</v>
      </c>
      <c r="L11" s="5">
        <v>985</v>
      </c>
      <c r="M11" s="5">
        <v>1542.24</v>
      </c>
      <c r="N11" s="5">
        <v>12600</v>
      </c>
      <c r="O11" s="5">
        <v>846.89</v>
      </c>
      <c r="P11" s="5">
        <v>9180.42</v>
      </c>
    </row>
    <row r="12" spans="1:16" x14ac:dyDescent="0.35">
      <c r="A12" s="3">
        <v>42321</v>
      </c>
      <c r="B12" s="5"/>
      <c r="C12" s="5"/>
      <c r="D12" s="5">
        <v>153.81</v>
      </c>
      <c r="E12" s="5"/>
      <c r="F12" s="5">
        <v>17445.12</v>
      </c>
      <c r="G12" s="5">
        <v>8538.4</v>
      </c>
      <c r="H12" s="5">
        <v>2046.5300000000002</v>
      </c>
      <c r="I12" s="5">
        <v>5122.3599999999997</v>
      </c>
      <c r="J12" s="5">
        <v>44.1</v>
      </c>
      <c r="K12" s="5">
        <v>4725.62</v>
      </c>
      <c r="L12" s="5">
        <v>1946.94</v>
      </c>
      <c r="M12" s="5">
        <v>2563.9399999999996</v>
      </c>
      <c r="N12" s="5">
        <v>2137.3000000000002</v>
      </c>
      <c r="O12" s="5">
        <v>3084.49</v>
      </c>
      <c r="P12" s="5">
        <v>5097.51</v>
      </c>
    </row>
    <row r="13" spans="1:16" x14ac:dyDescent="0.35">
      <c r="A13" s="3">
        <v>42322</v>
      </c>
      <c r="B13" s="5"/>
      <c r="C13" s="5"/>
      <c r="D13" s="5"/>
      <c r="E13" s="5"/>
      <c r="F13" s="5"/>
      <c r="G13" s="5">
        <v>1636.25</v>
      </c>
      <c r="H13" s="5">
        <v>3817.38</v>
      </c>
      <c r="I13" s="5">
        <v>1117.1300000000001</v>
      </c>
      <c r="J13" s="5">
        <v>2280.31</v>
      </c>
      <c r="K13" s="5">
        <v>3324.4200000000005</v>
      </c>
      <c r="L13" s="5">
        <v>1447.48</v>
      </c>
      <c r="M13" s="5">
        <v>10339.439999999999</v>
      </c>
      <c r="N13" s="5">
        <v>3186.54</v>
      </c>
      <c r="O13" s="5">
        <v>6163.76</v>
      </c>
      <c r="P13" s="5">
        <v>167.27</v>
      </c>
    </row>
    <row r="14" spans="1:16" x14ac:dyDescent="0.35">
      <c r="A14" s="3">
        <v>42323</v>
      </c>
      <c r="B14" s="5"/>
      <c r="C14" s="5"/>
      <c r="D14" s="5"/>
      <c r="E14" s="5"/>
      <c r="F14" s="5"/>
      <c r="G14" s="5"/>
      <c r="H14" s="5">
        <v>1393.67</v>
      </c>
      <c r="I14" s="5">
        <v>1307.99</v>
      </c>
      <c r="J14" s="5">
        <v>1720.03</v>
      </c>
      <c r="K14" s="5">
        <v>3152.21</v>
      </c>
      <c r="L14" s="5">
        <v>2088.3000000000002</v>
      </c>
      <c r="M14" s="5">
        <v>8010.6100000000006</v>
      </c>
      <c r="N14" s="5">
        <v>2259.9499999999998</v>
      </c>
      <c r="O14" s="5">
        <v>4616.5600000000004</v>
      </c>
      <c r="P14" s="5"/>
    </row>
    <row r="15" spans="1:16" x14ac:dyDescent="0.35">
      <c r="A15" s="3">
        <v>42326</v>
      </c>
      <c r="B15" s="5">
        <v>1402.1</v>
      </c>
      <c r="C15" s="5"/>
      <c r="D15" s="5">
        <v>557.58999999999992</v>
      </c>
      <c r="E15" s="5">
        <v>565.13</v>
      </c>
      <c r="F15" s="5">
        <v>1357.6299999999999</v>
      </c>
      <c r="G15" s="5">
        <v>848.55</v>
      </c>
      <c r="H15" s="5">
        <v>3749.44</v>
      </c>
      <c r="I15" s="5">
        <v>1561.95</v>
      </c>
      <c r="J15" s="5">
        <v>48380.83</v>
      </c>
      <c r="K15" s="5">
        <v>11796.89</v>
      </c>
      <c r="L15" s="5">
        <v>3578.1299999999997</v>
      </c>
      <c r="M15" s="5">
        <v>7197.87</v>
      </c>
      <c r="N15" s="5">
        <v>12635.68</v>
      </c>
      <c r="O15" s="5">
        <v>18807.399999999998</v>
      </c>
      <c r="P15" s="5">
        <v>3374.4</v>
      </c>
    </row>
    <row r="16" spans="1:16" x14ac:dyDescent="0.35">
      <c r="A16" s="3">
        <v>42327</v>
      </c>
      <c r="B16" s="5"/>
      <c r="C16" s="5"/>
      <c r="D16" s="5">
        <v>295</v>
      </c>
      <c r="E16" s="5">
        <v>3476.6800000000003</v>
      </c>
      <c r="F16" s="5">
        <v>187</v>
      </c>
      <c r="G16" s="5">
        <v>3626.7999999999997</v>
      </c>
      <c r="H16" s="5">
        <v>1901.4299999999998</v>
      </c>
      <c r="I16" s="5">
        <v>1934.98</v>
      </c>
      <c r="J16" s="5">
        <v>2315.83</v>
      </c>
      <c r="K16" s="5">
        <v>4079.05</v>
      </c>
      <c r="L16" s="5">
        <v>3627.7400000000002</v>
      </c>
      <c r="M16" s="5">
        <v>2168.4299999999998</v>
      </c>
      <c r="N16" s="5">
        <v>12405.93</v>
      </c>
      <c r="O16" s="5">
        <v>5801.8</v>
      </c>
      <c r="P16" s="5">
        <v>1289.3900000000001</v>
      </c>
    </row>
    <row r="17" spans="1:16" x14ac:dyDescent="0.35">
      <c r="A17" s="3">
        <v>42328</v>
      </c>
      <c r="B17" s="5"/>
      <c r="C17" s="5"/>
      <c r="D17" s="5"/>
      <c r="E17" s="5"/>
      <c r="F17" s="5"/>
      <c r="G17" s="5">
        <v>2715.5099999999998</v>
      </c>
      <c r="H17" s="5">
        <v>5057.5599999999995</v>
      </c>
      <c r="I17" s="5"/>
      <c r="J17" s="5">
        <v>518.17999999999995</v>
      </c>
      <c r="K17" s="5"/>
      <c r="L17" s="5">
        <v>797.14</v>
      </c>
      <c r="M17" s="5"/>
      <c r="N17" s="5">
        <v>81366.77</v>
      </c>
      <c r="O17" s="5">
        <v>5762.04</v>
      </c>
      <c r="P17" s="5"/>
    </row>
    <row r="18" spans="1:16" x14ac:dyDescent="0.35">
      <c r="A18" s="3">
        <v>42329</v>
      </c>
      <c r="B18" s="5"/>
      <c r="C18" s="5"/>
      <c r="D18" s="5"/>
      <c r="E18" s="5"/>
      <c r="F18" s="5"/>
      <c r="G18" s="5">
        <v>146.66</v>
      </c>
      <c r="H18" s="5">
        <v>9248.42</v>
      </c>
      <c r="I18" s="5">
        <v>368.47</v>
      </c>
      <c r="J18" s="5">
        <v>1763.6299999999999</v>
      </c>
      <c r="K18" s="5">
        <v>324.79000000000002</v>
      </c>
      <c r="L18" s="5">
        <v>4117.07</v>
      </c>
      <c r="M18" s="5">
        <v>2564.52</v>
      </c>
      <c r="N18" s="5">
        <v>5105.59</v>
      </c>
      <c r="O18" s="5">
        <v>2424.77</v>
      </c>
      <c r="P18" s="5">
        <v>200.22</v>
      </c>
    </row>
    <row r="19" spans="1:16" x14ac:dyDescent="0.35">
      <c r="A19" s="3">
        <v>42324</v>
      </c>
      <c r="B19" s="5"/>
      <c r="C19" s="5"/>
      <c r="D19" s="5"/>
      <c r="E19" s="5"/>
      <c r="F19" s="5"/>
      <c r="G19" s="5">
        <v>5765.07</v>
      </c>
      <c r="H19" s="5">
        <v>51.97</v>
      </c>
      <c r="I19" s="5"/>
      <c r="J19" s="5">
        <v>4672.79</v>
      </c>
      <c r="K19" s="5">
        <v>35.880000000000003</v>
      </c>
      <c r="L19" s="5">
        <v>6317.1799999999994</v>
      </c>
      <c r="M19" s="5">
        <v>2116.4299999999998</v>
      </c>
      <c r="N19" s="5">
        <v>218.4</v>
      </c>
      <c r="O19" s="5">
        <v>43.68</v>
      </c>
      <c r="P19" s="5">
        <v>405.72</v>
      </c>
    </row>
    <row r="20" spans="1:16" x14ac:dyDescent="0.35">
      <c r="A20" s="3">
        <v>42325</v>
      </c>
      <c r="B20" s="5"/>
      <c r="C20" s="5"/>
      <c r="D20" s="5"/>
      <c r="E20" s="5"/>
      <c r="F20" s="5"/>
      <c r="G20" s="5">
        <v>10259.08</v>
      </c>
      <c r="H20" s="5">
        <v>79.150000000000006</v>
      </c>
      <c r="I20" s="5">
        <v>1183.5200000000002</v>
      </c>
      <c r="J20" s="5">
        <v>1454.6799999999998</v>
      </c>
      <c r="K20" s="5">
        <v>7966.119999999999</v>
      </c>
      <c r="L20" s="5">
        <v>173.12</v>
      </c>
      <c r="M20" s="5">
        <v>7469.25</v>
      </c>
      <c r="N20" s="5">
        <v>16401.8</v>
      </c>
      <c r="O20" s="5">
        <v>4352.6499999999996</v>
      </c>
      <c r="P20" s="5">
        <v>43.68</v>
      </c>
    </row>
    <row r="21" spans="1:16" x14ac:dyDescent="0.35">
      <c r="A21" s="4" t="s">
        <v>0</v>
      </c>
      <c r="B21" s="6">
        <v>1402.1</v>
      </c>
      <c r="C21" s="6">
        <v>16.52</v>
      </c>
      <c r="D21" s="6">
        <v>1747.17</v>
      </c>
      <c r="E21" s="6">
        <v>9530.4700000000012</v>
      </c>
      <c r="F21" s="6">
        <v>18994.849999999999</v>
      </c>
      <c r="G21" s="6">
        <v>60912.750000000007</v>
      </c>
      <c r="H21" s="6">
        <v>51996.159999999996</v>
      </c>
      <c r="I21" s="6">
        <v>27094.150000000005</v>
      </c>
      <c r="J21" s="6">
        <v>83455.139999999985</v>
      </c>
      <c r="K21" s="6">
        <v>61497.440000000002</v>
      </c>
      <c r="L21" s="6">
        <v>53389.279999999999</v>
      </c>
      <c r="M21" s="6">
        <v>64981.29</v>
      </c>
      <c r="N21" s="6">
        <v>172949.69999999998</v>
      </c>
      <c r="O21" s="6">
        <v>94716.829999999987</v>
      </c>
      <c r="P21" s="6">
        <v>43046.930000000008</v>
      </c>
    </row>
    <row r="22" spans="1:16" x14ac:dyDescent="0.35">
      <c r="A22" t="s">
        <v>130</v>
      </c>
      <c r="B22" s="5">
        <f>PRODUCT(B21,B91:$P$91)</f>
        <v>2226.1328322250238</v>
      </c>
      <c r="C22" s="5">
        <f>PRODUCT(C21,C91:$P$91)</f>
        <v>25.809961894714114</v>
      </c>
      <c r="D22" s="5">
        <f>PRODUCT(D21,D91:$P$91)</f>
        <v>2703.6459079307187</v>
      </c>
      <c r="E22" s="5">
        <f>PRODUCT(E21,E91:$P$91)</f>
        <v>14193.084224232136</v>
      </c>
      <c r="F22" s="5">
        <f>PRODUCT(F21,F91:$P$91)</f>
        <v>27300.810873879171</v>
      </c>
      <c r="G22" s="5">
        <f>PRODUCT(G21,G91:$P$91)</f>
        <v>86348.968443771402</v>
      </c>
      <c r="H22" s="5">
        <f>PRODUCT(H21,H91:$P$91)</f>
        <v>73759.884457282853</v>
      </c>
      <c r="I22" s="5">
        <f>PRODUCT(I21,I91:$P$91)</f>
        <v>38561.558929888779</v>
      </c>
      <c r="J22" s="5">
        <f>PRODUCT(J21,J91:$P$91)</f>
        <v>119397.18295470752</v>
      </c>
      <c r="K22" s="5">
        <f>PRODUCT(K21,K91:$P$91)</f>
        <v>86846.56183444467</v>
      </c>
      <c r="L22" s="5">
        <f>PRODUCT(L21,L91:$P$91)</f>
        <v>73561.446347747158</v>
      </c>
      <c r="M22" s="5">
        <f>PRODUCT(M21,M91:$P$91)</f>
        <v>87198.536681899175</v>
      </c>
      <c r="N22" s="5">
        <f>PRODUCT(N21,N91:$P$91)</f>
        <v>227681.63193336845</v>
      </c>
      <c r="O22" s="5">
        <f>PRODUCT(O21,O91:$P$91)</f>
        <v>120871.08264906457</v>
      </c>
      <c r="P22" s="5" t="s">
        <v>32</v>
      </c>
    </row>
    <row r="23" spans="1:16" x14ac:dyDescent="0.3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6" spans="1:16" s="10" customFormat="1" x14ac:dyDescent="0.35">
      <c r="B26" s="15" t="s">
        <v>44</v>
      </c>
    </row>
    <row r="27" spans="1:16" s="18" customFormat="1" x14ac:dyDescent="0.35">
      <c r="A27" s="30" t="s">
        <v>19</v>
      </c>
      <c r="B27" s="18" t="s">
        <v>20</v>
      </c>
      <c r="C27" s="18" t="s">
        <v>21</v>
      </c>
      <c r="D27" s="18" t="s">
        <v>22</v>
      </c>
      <c r="E27" s="18" t="s">
        <v>4</v>
      </c>
      <c r="F27" s="18" t="s">
        <v>5</v>
      </c>
      <c r="G27" s="18" t="s">
        <v>6</v>
      </c>
      <c r="H27" s="18" t="s">
        <v>7</v>
      </c>
      <c r="I27" s="18" t="s">
        <v>8</v>
      </c>
      <c r="J27" s="18" t="s">
        <v>9</v>
      </c>
      <c r="K27" s="18" t="s">
        <v>10</v>
      </c>
      <c r="L27" s="18" t="s">
        <v>11</v>
      </c>
      <c r="M27" s="18" t="s">
        <v>12</v>
      </c>
      <c r="N27" s="18" t="s">
        <v>13</v>
      </c>
      <c r="O27" s="18" t="s">
        <v>14</v>
      </c>
      <c r="P27" s="18" t="s">
        <v>15</v>
      </c>
    </row>
    <row r="28" spans="1:16" s="22" customFormat="1" x14ac:dyDescent="0.35">
      <c r="A28" s="20" t="s">
        <v>42</v>
      </c>
      <c r="B28" s="21">
        <v>2008</v>
      </c>
      <c r="C28" s="21">
        <v>2009</v>
      </c>
      <c r="D28" s="21">
        <v>2010</v>
      </c>
      <c r="E28" s="21">
        <v>2011</v>
      </c>
      <c r="F28" s="21">
        <v>2012</v>
      </c>
      <c r="G28" s="21">
        <v>2013</v>
      </c>
      <c r="H28" s="21">
        <v>2014</v>
      </c>
      <c r="I28" s="21">
        <v>2015</v>
      </c>
      <c r="J28" s="21">
        <v>2016</v>
      </c>
      <c r="K28" s="21">
        <v>2017</v>
      </c>
      <c r="L28" s="21">
        <v>2018</v>
      </c>
      <c r="M28" s="21">
        <v>2019</v>
      </c>
      <c r="N28" s="21">
        <v>2020</v>
      </c>
      <c r="O28" s="21">
        <v>2021</v>
      </c>
      <c r="P28" s="21">
        <v>2022</v>
      </c>
    </row>
    <row r="29" spans="1:16" x14ac:dyDescent="0.35">
      <c r="A29" s="3">
        <v>42554</v>
      </c>
      <c r="B29" s="5"/>
      <c r="C29" s="5"/>
      <c r="D29" s="5"/>
      <c r="E29" s="5"/>
      <c r="F29" s="5"/>
      <c r="G29" s="5">
        <v>6329.01</v>
      </c>
      <c r="H29" s="5">
        <v>2721.09</v>
      </c>
      <c r="I29" s="5">
        <v>401.54999999999995</v>
      </c>
      <c r="J29" s="5">
        <v>3264.62</v>
      </c>
      <c r="K29" s="5">
        <v>1808.6799999999998</v>
      </c>
      <c r="L29" s="5">
        <v>296</v>
      </c>
      <c r="M29" s="5">
        <v>3987.92</v>
      </c>
      <c r="N29" s="5">
        <v>10516.61</v>
      </c>
      <c r="O29" s="5">
        <v>718.64</v>
      </c>
      <c r="P29" s="5">
        <v>12678.61</v>
      </c>
    </row>
    <row r="30" spans="1:16" x14ac:dyDescent="0.35">
      <c r="A30" s="3">
        <v>42555</v>
      </c>
      <c r="B30" s="5"/>
      <c r="C30" s="5"/>
      <c r="D30" s="5"/>
      <c r="E30" s="5"/>
      <c r="F30" s="5"/>
      <c r="G30" s="5">
        <v>36.880000000000003</v>
      </c>
      <c r="H30" s="5">
        <v>2124.4799999999996</v>
      </c>
      <c r="I30" s="5">
        <v>9125.7100000000009</v>
      </c>
      <c r="J30" s="5">
        <v>4036.8900000000003</v>
      </c>
      <c r="K30" s="5">
        <v>1621.37</v>
      </c>
      <c r="L30" s="5">
        <v>1172.4399999999998</v>
      </c>
      <c r="M30" s="5">
        <v>2599.52</v>
      </c>
      <c r="N30" s="5">
        <v>9556.82</v>
      </c>
      <c r="O30" s="5">
        <v>10404.89</v>
      </c>
      <c r="P30" s="5">
        <v>1841.93</v>
      </c>
    </row>
    <row r="31" spans="1:16" x14ac:dyDescent="0.35">
      <c r="A31" s="3">
        <v>42556</v>
      </c>
      <c r="B31" s="5"/>
      <c r="C31" s="5"/>
      <c r="D31" s="5"/>
      <c r="E31" s="5"/>
      <c r="F31" s="5"/>
      <c r="G31" s="5">
        <v>1794.59</v>
      </c>
      <c r="H31" s="5">
        <v>4672.2</v>
      </c>
      <c r="I31" s="5">
        <v>3049.58</v>
      </c>
      <c r="J31" s="5">
        <v>35448</v>
      </c>
      <c r="K31" s="5">
        <v>2219.56</v>
      </c>
      <c r="L31" s="5">
        <v>2029.21</v>
      </c>
      <c r="M31" s="5">
        <v>4095.31</v>
      </c>
      <c r="N31" s="5">
        <v>10183.370000000001</v>
      </c>
      <c r="O31" s="5">
        <v>13487.88</v>
      </c>
      <c r="P31" s="5">
        <v>1584.4399999999998</v>
      </c>
    </row>
    <row r="32" spans="1:16" x14ac:dyDescent="0.35">
      <c r="A32" s="3">
        <v>42557</v>
      </c>
      <c r="B32" s="5"/>
      <c r="C32" s="5"/>
      <c r="D32" s="5"/>
      <c r="E32" s="5"/>
      <c r="F32" s="5"/>
      <c r="G32" s="5">
        <v>2102.9</v>
      </c>
      <c r="H32" s="5">
        <v>6026.6900000000005</v>
      </c>
      <c r="I32" s="5">
        <v>520.48</v>
      </c>
      <c r="J32" s="5">
        <v>4802.3899999999994</v>
      </c>
      <c r="K32" s="5">
        <v>3533.55</v>
      </c>
      <c r="L32" s="5">
        <v>4747.6000000000004</v>
      </c>
      <c r="M32" s="5">
        <v>12609.03</v>
      </c>
      <c r="N32" s="5">
        <v>13145.41</v>
      </c>
      <c r="O32" s="5">
        <v>2607.3200000000002</v>
      </c>
      <c r="P32" s="5">
        <v>279.62</v>
      </c>
    </row>
    <row r="33" spans="1:16" x14ac:dyDescent="0.35">
      <c r="A33" s="3">
        <v>42558</v>
      </c>
      <c r="B33" s="5"/>
      <c r="C33" s="5"/>
      <c r="D33" s="5"/>
      <c r="E33" s="5">
        <v>29.75</v>
      </c>
      <c r="F33" s="5">
        <v>4.0999999999999996</v>
      </c>
      <c r="G33" s="5">
        <v>3699.53</v>
      </c>
      <c r="H33" s="5">
        <v>199.99</v>
      </c>
      <c r="I33" s="5">
        <v>2022.1</v>
      </c>
      <c r="J33" s="5">
        <v>679.28</v>
      </c>
      <c r="K33" s="5">
        <v>5500.25</v>
      </c>
      <c r="L33" s="5">
        <v>1513.9</v>
      </c>
      <c r="M33" s="5">
        <v>1890.84</v>
      </c>
      <c r="N33" s="5">
        <v>8099.1299999999992</v>
      </c>
      <c r="O33" s="5">
        <v>2145.1999999999998</v>
      </c>
      <c r="P33" s="5"/>
    </row>
    <row r="34" spans="1:16" x14ac:dyDescent="0.35">
      <c r="A34" s="3">
        <v>42559</v>
      </c>
      <c r="B34" s="5"/>
      <c r="C34" s="5"/>
      <c r="D34" s="5"/>
      <c r="E34" s="5"/>
      <c r="F34" s="5"/>
      <c r="G34" s="5">
        <v>3012.88</v>
      </c>
      <c r="H34" s="5">
        <v>1200.05</v>
      </c>
      <c r="I34" s="5">
        <v>3556.32</v>
      </c>
      <c r="J34" s="5">
        <v>1982.76</v>
      </c>
      <c r="K34" s="5">
        <v>30045.66</v>
      </c>
      <c r="L34" s="5">
        <v>2468.85</v>
      </c>
      <c r="M34" s="5">
        <v>2185.1999999999998</v>
      </c>
      <c r="N34" s="5">
        <v>9675.8100000000013</v>
      </c>
      <c r="O34" s="5">
        <v>12126.33</v>
      </c>
      <c r="P34" s="5">
        <v>3808.38</v>
      </c>
    </row>
    <row r="35" spans="1:16" x14ac:dyDescent="0.35">
      <c r="A35" s="3">
        <v>42560</v>
      </c>
      <c r="B35" s="5"/>
      <c r="C35" s="5"/>
      <c r="D35" s="5"/>
      <c r="E35" s="5"/>
      <c r="F35" s="5"/>
      <c r="G35" s="5">
        <v>286.49</v>
      </c>
      <c r="H35" s="5">
        <v>4344.4400000000005</v>
      </c>
      <c r="I35" s="5">
        <v>974</v>
      </c>
      <c r="J35" s="5">
        <v>1866.19</v>
      </c>
      <c r="K35" s="5">
        <v>49642.030000000006</v>
      </c>
      <c r="L35" s="5">
        <v>2537.27</v>
      </c>
      <c r="M35" s="5">
        <v>3636.2599999999998</v>
      </c>
      <c r="N35" s="5"/>
      <c r="O35" s="5">
        <v>7418.48</v>
      </c>
      <c r="P35" s="5"/>
    </row>
    <row r="36" spans="1:16" x14ac:dyDescent="0.35">
      <c r="A36" s="3">
        <v>42561</v>
      </c>
      <c r="B36" s="5"/>
      <c r="C36" s="5"/>
      <c r="D36" s="5"/>
      <c r="E36" s="5"/>
      <c r="F36" s="5"/>
      <c r="G36" s="5">
        <v>1011.85</v>
      </c>
      <c r="H36" s="5">
        <v>1372.63</v>
      </c>
      <c r="I36" s="5">
        <v>1167.47</v>
      </c>
      <c r="J36" s="5">
        <v>11500.029999999999</v>
      </c>
      <c r="K36" s="5">
        <v>2476.21</v>
      </c>
      <c r="L36" s="5">
        <v>9558.82</v>
      </c>
      <c r="M36" s="5">
        <v>2183.73</v>
      </c>
      <c r="N36" s="5">
        <v>2471.21</v>
      </c>
      <c r="O36" s="5">
        <v>17564.75</v>
      </c>
      <c r="P36" s="5"/>
    </row>
    <row r="37" spans="1:16" x14ac:dyDescent="0.35">
      <c r="A37" s="3">
        <v>42562</v>
      </c>
      <c r="B37" s="5"/>
      <c r="C37" s="5"/>
      <c r="D37" s="5"/>
      <c r="E37" s="5">
        <v>628.86</v>
      </c>
      <c r="F37" s="5"/>
      <c r="G37" s="5">
        <v>4492.0199999999995</v>
      </c>
      <c r="H37" s="5">
        <v>1354.7399999999998</v>
      </c>
      <c r="I37" s="5">
        <v>3571.52</v>
      </c>
      <c r="J37" s="5">
        <v>8893.99</v>
      </c>
      <c r="K37" s="5">
        <v>4516.6000000000004</v>
      </c>
      <c r="L37" s="5">
        <v>2791.1</v>
      </c>
      <c r="M37" s="5">
        <v>7995.8999999999987</v>
      </c>
      <c r="N37" s="5">
        <v>11955.1</v>
      </c>
      <c r="O37" s="5">
        <v>2482.35</v>
      </c>
      <c r="P37" s="5">
        <v>483.82</v>
      </c>
    </row>
    <row r="38" spans="1:16" x14ac:dyDescent="0.35">
      <c r="A38" s="3">
        <v>42563</v>
      </c>
      <c r="B38" s="5"/>
      <c r="C38" s="5"/>
      <c r="D38" s="5"/>
      <c r="E38" s="5"/>
      <c r="F38" s="5"/>
      <c r="G38" s="5">
        <v>26286.43</v>
      </c>
      <c r="H38" s="5">
        <v>1278.6399999999999</v>
      </c>
      <c r="I38" s="5">
        <v>1505.95</v>
      </c>
      <c r="J38" s="5">
        <v>1480.26</v>
      </c>
      <c r="K38" s="5">
        <v>6792.35</v>
      </c>
      <c r="L38" s="5">
        <v>1928.12</v>
      </c>
      <c r="M38" s="5">
        <v>5275.8499999999995</v>
      </c>
      <c r="N38" s="5">
        <v>1745.92</v>
      </c>
      <c r="O38" s="5">
        <v>43.68</v>
      </c>
      <c r="P38" s="5"/>
    </row>
    <row r="39" spans="1:16" x14ac:dyDescent="0.35">
      <c r="A39" s="3">
        <v>42648</v>
      </c>
      <c r="B39" s="5"/>
      <c r="C39" s="5"/>
      <c r="D39" s="5"/>
      <c r="E39" s="5"/>
      <c r="F39" s="5"/>
      <c r="G39" s="5">
        <v>2067.56</v>
      </c>
      <c r="H39" s="5">
        <v>2109.44</v>
      </c>
      <c r="I39" s="5">
        <v>129.06</v>
      </c>
      <c r="J39" s="5">
        <v>2972.1499999999996</v>
      </c>
      <c r="K39" s="5">
        <v>6633.119999999999</v>
      </c>
      <c r="L39" s="5">
        <v>11525.93</v>
      </c>
      <c r="M39" s="5">
        <v>2529.8200000000002</v>
      </c>
      <c r="N39" s="5">
        <v>197.57</v>
      </c>
      <c r="O39" s="5">
        <v>7047.4</v>
      </c>
      <c r="P39" s="5">
        <v>1114.5999999999999</v>
      </c>
    </row>
    <row r="40" spans="1:16" x14ac:dyDescent="0.35">
      <c r="A40" s="3">
        <v>42649</v>
      </c>
      <c r="B40" s="5"/>
      <c r="C40" s="5"/>
      <c r="D40" s="5"/>
      <c r="E40" s="5"/>
      <c r="F40" s="5"/>
      <c r="G40" s="5">
        <v>2646.16</v>
      </c>
      <c r="H40" s="5">
        <v>3281.9000000000005</v>
      </c>
      <c r="I40" s="5">
        <v>670.55</v>
      </c>
      <c r="J40" s="5">
        <v>1191.94</v>
      </c>
      <c r="K40" s="5">
        <v>710.12</v>
      </c>
      <c r="L40" s="5">
        <v>3499.0099999999998</v>
      </c>
      <c r="M40" s="5"/>
      <c r="N40" s="5">
        <v>4195.37</v>
      </c>
      <c r="O40" s="5">
        <v>560.70000000000005</v>
      </c>
      <c r="P40" s="5">
        <v>2256.94</v>
      </c>
    </row>
    <row r="41" spans="1:16" x14ac:dyDescent="0.35">
      <c r="A41" s="3">
        <v>42650</v>
      </c>
      <c r="B41" s="5"/>
      <c r="C41" s="5"/>
      <c r="D41" s="5"/>
      <c r="E41" s="5"/>
      <c r="F41" s="5"/>
      <c r="G41" s="5">
        <v>87.7</v>
      </c>
      <c r="H41" s="5">
        <v>2182.6999999999998</v>
      </c>
      <c r="I41" s="5">
        <v>2002.52</v>
      </c>
      <c r="J41" s="5">
        <v>8490.0300000000007</v>
      </c>
      <c r="K41" s="5">
        <v>2102.46</v>
      </c>
      <c r="L41" s="5">
        <v>13985.11</v>
      </c>
      <c r="M41" s="5">
        <v>7683.59</v>
      </c>
      <c r="N41" s="5">
        <v>11562.56</v>
      </c>
      <c r="O41" s="5">
        <v>1691.86</v>
      </c>
      <c r="P41" s="5"/>
    </row>
    <row r="42" spans="1:16" x14ac:dyDescent="0.35">
      <c r="A42" s="3">
        <v>42651</v>
      </c>
      <c r="B42" s="5"/>
      <c r="C42" s="5"/>
      <c r="D42" s="5"/>
      <c r="E42" s="5"/>
      <c r="F42" s="5"/>
      <c r="G42" s="5"/>
      <c r="H42" s="5">
        <v>1829.08</v>
      </c>
      <c r="I42" s="5">
        <v>2546.16</v>
      </c>
      <c r="J42" s="5">
        <v>4440.3600000000006</v>
      </c>
      <c r="K42" s="5">
        <v>923.53</v>
      </c>
      <c r="L42" s="5">
        <v>961.3</v>
      </c>
      <c r="M42" s="5">
        <v>8151.06</v>
      </c>
      <c r="N42" s="5">
        <v>7682.74</v>
      </c>
      <c r="O42" s="5">
        <v>5499.7400000000007</v>
      </c>
      <c r="P42" s="5">
        <v>3017.9399999999996</v>
      </c>
    </row>
    <row r="43" spans="1:16" x14ac:dyDescent="0.35">
      <c r="A43" s="3">
        <v>42652</v>
      </c>
      <c r="B43" s="5"/>
      <c r="C43" s="5"/>
      <c r="D43" s="5"/>
      <c r="E43" s="5"/>
      <c r="F43" s="5"/>
      <c r="G43" s="5">
        <v>1304</v>
      </c>
      <c r="H43" s="5">
        <v>592.9</v>
      </c>
      <c r="I43" s="5">
        <v>3676.35</v>
      </c>
      <c r="J43" s="5">
        <v>1207.6599999999999</v>
      </c>
      <c r="K43" s="5">
        <v>4478.01</v>
      </c>
      <c r="L43" s="5">
        <v>5416.5400000000009</v>
      </c>
      <c r="M43" s="5">
        <v>7244.35</v>
      </c>
      <c r="N43" s="5">
        <v>8684.1099999999988</v>
      </c>
      <c r="O43" s="5">
        <v>19020.87</v>
      </c>
      <c r="P43" s="5">
        <v>2136.7599999999998</v>
      </c>
    </row>
    <row r="44" spans="1:16" x14ac:dyDescent="0.35">
      <c r="A44" s="3">
        <v>42653</v>
      </c>
      <c r="B44" s="5">
        <v>2870</v>
      </c>
      <c r="C44" s="5"/>
      <c r="D44" s="5"/>
      <c r="E44" s="5"/>
      <c r="F44" s="5"/>
      <c r="G44" s="5">
        <v>1684.3600000000001</v>
      </c>
      <c r="H44" s="5">
        <v>1416.1599999999999</v>
      </c>
      <c r="I44" s="5">
        <v>933.81999999999994</v>
      </c>
      <c r="J44" s="5">
        <v>2100.4899999999998</v>
      </c>
      <c r="K44" s="5">
        <v>3106.0099999999998</v>
      </c>
      <c r="L44" s="5">
        <v>1693.01</v>
      </c>
      <c r="M44" s="5">
        <v>2449.0099999999998</v>
      </c>
      <c r="N44" s="5">
        <v>12155.869999999999</v>
      </c>
      <c r="O44" s="5">
        <v>3053.64</v>
      </c>
      <c r="P44" s="5">
        <v>2151.39</v>
      </c>
    </row>
    <row r="45" spans="1:16" x14ac:dyDescent="0.35">
      <c r="A45" s="3">
        <v>42654</v>
      </c>
      <c r="B45" s="5"/>
      <c r="C45" s="5"/>
      <c r="D45" s="5"/>
      <c r="E45" s="5"/>
      <c r="F45" s="5"/>
      <c r="G45" s="5">
        <v>5645.8600000000006</v>
      </c>
      <c r="H45" s="5">
        <v>1025.22</v>
      </c>
      <c r="I45" s="5">
        <v>8299.2199999999975</v>
      </c>
      <c r="J45" s="5">
        <v>3461</v>
      </c>
      <c r="K45" s="5">
        <v>3391.5000000000005</v>
      </c>
      <c r="L45" s="5">
        <v>2450.3200000000002</v>
      </c>
      <c r="M45" s="5">
        <v>1271.54</v>
      </c>
      <c r="N45" s="5">
        <v>13929.16</v>
      </c>
      <c r="O45" s="5">
        <v>5223.4500000000007</v>
      </c>
      <c r="P45" s="5">
        <v>3631.17</v>
      </c>
    </row>
    <row r="46" spans="1:16" x14ac:dyDescent="0.35">
      <c r="A46" s="3">
        <v>42655</v>
      </c>
      <c r="B46" s="5"/>
      <c r="C46" s="5"/>
      <c r="D46" s="5"/>
      <c r="E46" s="5">
        <v>195</v>
      </c>
      <c r="F46" s="5">
        <v>124.17999999999999</v>
      </c>
      <c r="G46" s="5">
        <v>2341.0500000000002</v>
      </c>
      <c r="H46" s="5">
        <v>4894.9800000000005</v>
      </c>
      <c r="I46" s="5">
        <v>1929.4100000000003</v>
      </c>
      <c r="J46" s="5">
        <v>5529.03</v>
      </c>
      <c r="K46" s="5">
        <v>2537</v>
      </c>
      <c r="L46" s="5">
        <v>4899.0299999999988</v>
      </c>
      <c r="M46" s="5">
        <v>4378.91</v>
      </c>
      <c r="N46" s="5">
        <v>7951.6100000000015</v>
      </c>
      <c r="O46" s="5">
        <v>3001.38</v>
      </c>
      <c r="P46" s="5">
        <v>138.6</v>
      </c>
    </row>
    <row r="47" spans="1:16" x14ac:dyDescent="0.35">
      <c r="A47" s="3">
        <v>42657</v>
      </c>
      <c r="B47" s="5"/>
      <c r="C47" s="5"/>
      <c r="D47" s="5"/>
      <c r="E47" s="5"/>
      <c r="F47" s="5"/>
      <c r="G47" s="5">
        <v>2247.62</v>
      </c>
      <c r="H47" s="5">
        <v>262.08</v>
      </c>
      <c r="I47" s="5">
        <v>2028.17</v>
      </c>
      <c r="J47" s="5">
        <v>5012.8200000000006</v>
      </c>
      <c r="K47" s="5">
        <v>2929.89</v>
      </c>
      <c r="L47" s="5">
        <v>2975.9900000000002</v>
      </c>
      <c r="M47" s="5">
        <v>7267.48</v>
      </c>
      <c r="N47" s="5">
        <v>3087.91</v>
      </c>
      <c r="O47" s="5">
        <v>6607.3099999999995</v>
      </c>
      <c r="P47" s="5">
        <v>3031.14</v>
      </c>
    </row>
    <row r="48" spans="1:16" x14ac:dyDescent="0.35">
      <c r="A48" s="3">
        <v>42658</v>
      </c>
      <c r="B48" s="5"/>
      <c r="C48" s="5"/>
      <c r="D48" s="5"/>
      <c r="E48" s="5"/>
      <c r="F48" s="5"/>
      <c r="G48" s="5">
        <v>492.04</v>
      </c>
      <c r="H48" s="5">
        <v>1253.67</v>
      </c>
      <c r="I48" s="5"/>
      <c r="J48" s="5">
        <v>1645.28</v>
      </c>
      <c r="K48" s="5">
        <v>2227.35</v>
      </c>
      <c r="L48" s="5">
        <v>5623.1</v>
      </c>
      <c r="M48" s="5">
        <v>6131.78</v>
      </c>
      <c r="N48" s="5">
        <v>6724.5199999999995</v>
      </c>
      <c r="O48" s="5">
        <v>3021.7999999999997</v>
      </c>
      <c r="P48" s="5">
        <v>1838.76</v>
      </c>
    </row>
    <row r="49" spans="1:16" x14ac:dyDescent="0.35">
      <c r="A49" s="3">
        <v>42662</v>
      </c>
      <c r="B49" s="5"/>
      <c r="C49" s="5"/>
      <c r="D49" s="5"/>
      <c r="E49" s="5"/>
      <c r="F49" s="5"/>
      <c r="G49" s="5">
        <v>64257.87</v>
      </c>
      <c r="H49" s="5">
        <v>1597.46</v>
      </c>
      <c r="I49" s="5">
        <v>1856.16</v>
      </c>
      <c r="J49" s="5">
        <v>1767.1</v>
      </c>
      <c r="K49" s="5">
        <v>55315.199999999997</v>
      </c>
      <c r="L49" s="5">
        <v>8403.67</v>
      </c>
      <c r="M49" s="5">
        <v>7193.3899999999994</v>
      </c>
      <c r="N49" s="5">
        <v>1759.07</v>
      </c>
      <c r="O49" s="5">
        <v>6306.75</v>
      </c>
      <c r="P49" s="5">
        <v>4752.33</v>
      </c>
    </row>
    <row r="50" spans="1:16" x14ac:dyDescent="0.35">
      <c r="A50" s="3">
        <v>42663</v>
      </c>
      <c r="B50" s="5"/>
      <c r="C50" s="5"/>
      <c r="D50" s="5"/>
      <c r="E50" s="5"/>
      <c r="F50" s="5"/>
      <c r="G50" s="5">
        <v>953.8</v>
      </c>
      <c r="H50" s="5">
        <v>5910.21</v>
      </c>
      <c r="I50" s="5">
        <v>4135.3</v>
      </c>
      <c r="J50" s="5">
        <v>2409.6000000000004</v>
      </c>
      <c r="K50" s="5">
        <v>6477.2099999999991</v>
      </c>
      <c r="L50" s="5">
        <v>9066.2100000000009</v>
      </c>
      <c r="M50" s="5">
        <v>6293.0300000000007</v>
      </c>
      <c r="N50" s="5">
        <v>3193.7999999999997</v>
      </c>
      <c r="O50" s="5">
        <v>3124.34</v>
      </c>
      <c r="P50" s="5">
        <v>5278.13</v>
      </c>
    </row>
    <row r="51" spans="1:16" x14ac:dyDescent="0.35">
      <c r="A51" s="3">
        <v>42664</v>
      </c>
      <c r="B51" s="5"/>
      <c r="C51" s="5"/>
      <c r="D51" s="5"/>
      <c r="E51" s="5"/>
      <c r="F51" s="5"/>
      <c r="G51" s="5">
        <v>986.79</v>
      </c>
      <c r="H51" s="5">
        <v>1561.8</v>
      </c>
      <c r="I51" s="5">
        <v>3170.09</v>
      </c>
      <c r="J51" s="5">
        <v>886.94000000000017</v>
      </c>
      <c r="K51" s="5">
        <v>1106.8900000000001</v>
      </c>
      <c r="L51" s="5">
        <v>811.33</v>
      </c>
      <c r="M51" s="5">
        <v>7035.24</v>
      </c>
      <c r="N51" s="5">
        <v>2621.55</v>
      </c>
      <c r="O51" s="5">
        <v>10453.619999999999</v>
      </c>
      <c r="P51" s="5">
        <v>4846.2199999999993</v>
      </c>
    </row>
    <row r="52" spans="1:16" x14ac:dyDescent="0.35">
      <c r="A52" s="3">
        <v>42665</v>
      </c>
      <c r="B52" s="5"/>
      <c r="C52" s="5"/>
      <c r="D52" s="5"/>
      <c r="E52" s="5"/>
      <c r="F52" s="5"/>
      <c r="G52" s="5">
        <v>5282.01</v>
      </c>
      <c r="H52" s="5">
        <v>1035.02</v>
      </c>
      <c r="I52" s="5">
        <v>241.07</v>
      </c>
      <c r="J52" s="5">
        <v>1771.2</v>
      </c>
      <c r="K52" s="5">
        <v>6205.82</v>
      </c>
      <c r="L52" s="5">
        <v>1341.3999999999999</v>
      </c>
      <c r="M52" s="5">
        <v>4682.43</v>
      </c>
      <c r="N52" s="5">
        <v>12687.62</v>
      </c>
      <c r="O52" s="5">
        <v>10329.93</v>
      </c>
      <c r="P52" s="5"/>
    </row>
    <row r="53" spans="1:16" x14ac:dyDescent="0.35">
      <c r="A53" s="3">
        <v>42666</v>
      </c>
      <c r="B53" s="5"/>
      <c r="C53" s="5"/>
      <c r="D53" s="5"/>
      <c r="E53" s="5"/>
      <c r="F53" s="5"/>
      <c r="G53" s="5"/>
      <c r="H53" s="5">
        <v>77.34</v>
      </c>
      <c r="I53" s="5">
        <v>212.94</v>
      </c>
      <c r="J53" s="5">
        <v>1811.23</v>
      </c>
      <c r="K53" s="5">
        <v>2576.9899999999998</v>
      </c>
      <c r="L53" s="5">
        <v>4379.3900000000003</v>
      </c>
      <c r="M53" s="5">
        <v>55.54</v>
      </c>
      <c r="N53" s="5">
        <v>4148.5200000000004</v>
      </c>
      <c r="O53" s="5">
        <v>4621.67</v>
      </c>
      <c r="P53" s="5">
        <v>2286.71</v>
      </c>
    </row>
    <row r="54" spans="1:16" x14ac:dyDescent="0.35">
      <c r="A54" s="3">
        <v>42667</v>
      </c>
      <c r="B54" s="5"/>
      <c r="C54" s="5"/>
      <c r="D54" s="5"/>
      <c r="E54" s="5"/>
      <c r="F54" s="5"/>
      <c r="G54" s="5">
        <v>36</v>
      </c>
      <c r="H54" s="5">
        <v>621.37</v>
      </c>
      <c r="I54" s="5">
        <v>1204.4000000000001</v>
      </c>
      <c r="J54" s="5">
        <v>6354.41</v>
      </c>
      <c r="K54" s="5">
        <v>2612</v>
      </c>
      <c r="L54" s="5">
        <v>3222.4000000000005</v>
      </c>
      <c r="M54" s="5">
        <v>7469.59</v>
      </c>
      <c r="N54" s="5">
        <v>4081.2999999999997</v>
      </c>
      <c r="O54" s="5">
        <v>7683.98</v>
      </c>
      <c r="P54" s="5">
        <v>1802.51</v>
      </c>
    </row>
    <row r="55" spans="1:16" x14ac:dyDescent="0.35">
      <c r="A55" s="3">
        <v>42668</v>
      </c>
      <c r="B55" s="5"/>
      <c r="C55" s="5"/>
      <c r="D55" s="5"/>
      <c r="E55" s="5"/>
      <c r="F55" s="5"/>
      <c r="G55" s="5">
        <v>4863.16</v>
      </c>
      <c r="H55" s="5">
        <v>1149.44</v>
      </c>
      <c r="I55" s="5">
        <v>3768.71</v>
      </c>
      <c r="J55" s="5">
        <v>2289.06</v>
      </c>
      <c r="K55" s="5">
        <v>418.06</v>
      </c>
      <c r="L55" s="5">
        <v>584.16</v>
      </c>
      <c r="M55" s="5">
        <v>13490.91</v>
      </c>
      <c r="N55" s="5">
        <v>7511.0300000000007</v>
      </c>
      <c r="O55" s="5">
        <v>709.41</v>
      </c>
      <c r="P55" s="5">
        <v>24587.760000000002</v>
      </c>
    </row>
    <row r="56" spans="1:16" x14ac:dyDescent="0.35">
      <c r="A56" s="3">
        <v>42670</v>
      </c>
      <c r="B56" s="5"/>
      <c r="C56" s="5"/>
      <c r="D56" s="5"/>
      <c r="E56" s="5"/>
      <c r="F56" s="5"/>
      <c r="G56" s="5">
        <v>6986.78</v>
      </c>
      <c r="H56" s="5">
        <v>1302.8399999999999</v>
      </c>
      <c r="I56" s="5">
        <v>610.65</v>
      </c>
      <c r="J56" s="5">
        <v>2696.4700000000003</v>
      </c>
      <c r="K56" s="5">
        <v>21628.47</v>
      </c>
      <c r="L56" s="5">
        <v>2148.6000000000004</v>
      </c>
      <c r="M56" s="5">
        <v>2626.9300000000003</v>
      </c>
      <c r="N56" s="5">
        <v>2618.35</v>
      </c>
      <c r="O56" s="5">
        <v>40449.200000000004</v>
      </c>
      <c r="P56" s="5">
        <v>7776.24</v>
      </c>
    </row>
    <row r="57" spans="1:16" x14ac:dyDescent="0.35">
      <c r="A57" s="3">
        <v>42564</v>
      </c>
      <c r="B57" s="5"/>
      <c r="C57" s="5"/>
      <c r="D57" s="5"/>
      <c r="E57" s="5"/>
      <c r="F57" s="5"/>
      <c r="G57" s="5">
        <v>5122.2199999999993</v>
      </c>
      <c r="H57" s="5">
        <v>1546.26</v>
      </c>
      <c r="I57" s="5">
        <v>2863.99</v>
      </c>
      <c r="J57" s="5">
        <v>8521.880000000001</v>
      </c>
      <c r="K57" s="5">
        <v>3698.81</v>
      </c>
      <c r="L57" s="5">
        <v>8758.380000000001</v>
      </c>
      <c r="M57" s="5">
        <v>5637.4400000000005</v>
      </c>
      <c r="N57" s="5">
        <v>9777.4699999999993</v>
      </c>
      <c r="O57" s="5">
        <v>5737.9400000000005</v>
      </c>
      <c r="P57" s="5">
        <v>6157.38</v>
      </c>
    </row>
    <row r="58" spans="1:16" x14ac:dyDescent="0.35">
      <c r="A58" s="4" t="s">
        <v>0</v>
      </c>
      <c r="B58" s="6">
        <v>2870</v>
      </c>
      <c r="C58" s="6">
        <v>0</v>
      </c>
      <c r="D58" s="6">
        <v>0</v>
      </c>
      <c r="E58" s="6">
        <v>853.61</v>
      </c>
      <c r="F58" s="6">
        <v>128.28</v>
      </c>
      <c r="G58" s="6">
        <v>156057.56</v>
      </c>
      <c r="H58" s="6">
        <v>58944.820000000007</v>
      </c>
      <c r="I58" s="6">
        <v>66173.250000000015</v>
      </c>
      <c r="J58" s="6">
        <v>138513.06000000003</v>
      </c>
      <c r="K58" s="6">
        <v>237234.7</v>
      </c>
      <c r="L58" s="6">
        <v>120788.19000000003</v>
      </c>
      <c r="M58" s="6">
        <v>148051.59999999998</v>
      </c>
      <c r="N58" s="6">
        <v>201919.50999999998</v>
      </c>
      <c r="O58" s="6">
        <v>213144.51</v>
      </c>
      <c r="P58" s="6">
        <v>97481.380000000019</v>
      </c>
    </row>
    <row r="59" spans="1:16" x14ac:dyDescent="0.35">
      <c r="A59" s="11" t="s">
        <v>130</v>
      </c>
      <c r="B59" s="5">
        <f>PRODUCT(B58,B91:$P$91)</f>
        <v>4556.7372002609081</v>
      </c>
      <c r="C59" s="5">
        <f>PRODUCT(C58,C91:$P$91)</f>
        <v>0</v>
      </c>
      <c r="D59" s="5">
        <f>PRODUCT(D58,D91:$P$91)</f>
        <v>0</v>
      </c>
      <c r="E59" s="5">
        <f>PRODUCT(E58,E91:$P$91)</f>
        <v>1271.2236253455274</v>
      </c>
      <c r="F59" s="5">
        <f>PRODUCT(F58,F91:$P$91)</f>
        <v>184.37355487941315</v>
      </c>
      <c r="G59" s="5">
        <f>PRODUCT(G58,G91:$P$91)</f>
        <v>221224.7735302044</v>
      </c>
      <c r="H59" s="5">
        <f>PRODUCT(H58,H91:$P$91)</f>
        <v>83617.003881735392</v>
      </c>
      <c r="I59" s="5">
        <f>PRODUCT(I58,I91:$P$91)</f>
        <v>94180.613876326141</v>
      </c>
      <c r="J59" s="5">
        <f>PRODUCT(J58,J91:$P$91)</f>
        <v>198167.17300380042</v>
      </c>
      <c r="K59" s="5">
        <f>PRODUCT(K58,K91:$P$91)</f>
        <v>335022.36910716823</v>
      </c>
      <c r="L59" s="5">
        <f>PRODUCT(L58,L91:$P$91)</f>
        <v>166425.8060443312</v>
      </c>
      <c r="M59" s="5">
        <f>PRODUCT(M58,M91:$P$91)</f>
        <v>198670.76928472586</v>
      </c>
      <c r="N59" s="5">
        <f>PRODUCT(N58,N91:$P$91)</f>
        <v>265819.27321056993</v>
      </c>
      <c r="O59" s="5">
        <f>PRODUCT(O58,O91:$P$91)</f>
        <v>272000.31593545072</v>
      </c>
      <c r="P59" s="5" t="s">
        <v>32</v>
      </c>
    </row>
    <row r="60" spans="1:16" x14ac:dyDescent="0.35">
      <c r="C60" s="9"/>
      <c r="D60" s="9"/>
      <c r="E60" s="9"/>
    </row>
    <row r="63" spans="1:16" s="10" customFormat="1" x14ac:dyDescent="0.35">
      <c r="B63" s="15" t="s">
        <v>44</v>
      </c>
    </row>
    <row r="64" spans="1:16" s="18" customFormat="1" x14ac:dyDescent="0.35">
      <c r="A64" s="30" t="s">
        <v>23</v>
      </c>
      <c r="B64" s="18" t="s">
        <v>21</v>
      </c>
      <c r="C64" s="18" t="s">
        <v>22</v>
      </c>
      <c r="D64" s="18" t="s">
        <v>4</v>
      </c>
      <c r="E64" s="18" t="s">
        <v>5</v>
      </c>
      <c r="F64" s="18" t="s">
        <v>6</v>
      </c>
      <c r="G64" s="18" t="s">
        <v>7</v>
      </c>
      <c r="H64" s="18" t="s">
        <v>8</v>
      </c>
      <c r="I64" s="18" t="s">
        <v>9</v>
      </c>
      <c r="J64" s="18" t="s">
        <v>10</v>
      </c>
      <c r="K64" s="18" t="s">
        <v>11</v>
      </c>
      <c r="L64" s="18" t="s">
        <v>12</v>
      </c>
      <c r="M64" s="18" t="s">
        <v>13</v>
      </c>
      <c r="N64" s="18" t="s">
        <v>14</v>
      </c>
    </row>
    <row r="65" spans="1:14" s="22" customFormat="1" x14ac:dyDescent="0.35">
      <c r="A65" s="20" t="s">
        <v>42</v>
      </c>
      <c r="B65" s="21">
        <v>2010</v>
      </c>
      <c r="C65" s="21">
        <v>2011</v>
      </c>
      <c r="D65" s="21">
        <v>2012</v>
      </c>
      <c r="E65" s="21">
        <v>2013</v>
      </c>
      <c r="F65" s="21">
        <v>2014</v>
      </c>
      <c r="G65" s="21">
        <v>2015</v>
      </c>
      <c r="H65" s="21">
        <v>2016</v>
      </c>
      <c r="I65" s="21">
        <v>2017</v>
      </c>
      <c r="J65" s="21">
        <v>2018</v>
      </c>
      <c r="K65" s="21">
        <v>2019</v>
      </c>
      <c r="L65" s="21">
        <v>2020</v>
      </c>
      <c r="M65" s="21">
        <v>2021</v>
      </c>
      <c r="N65" s="21">
        <v>2022</v>
      </c>
    </row>
    <row r="66" spans="1:14" x14ac:dyDescent="0.35">
      <c r="A66" s="3">
        <v>42761</v>
      </c>
      <c r="B66" s="5">
        <v>0</v>
      </c>
      <c r="C66" s="5">
        <v>516.34</v>
      </c>
      <c r="D66" s="5">
        <v>1061.19</v>
      </c>
      <c r="E66" s="5">
        <v>202.54</v>
      </c>
      <c r="F66" s="5">
        <v>8666.9699999999993</v>
      </c>
      <c r="G66" s="5">
        <v>809.05</v>
      </c>
      <c r="H66" s="5">
        <v>2463.6</v>
      </c>
      <c r="I66" s="5">
        <v>6776.4699999999993</v>
      </c>
      <c r="J66" s="5">
        <v>6465.13</v>
      </c>
      <c r="K66" s="5">
        <v>5421.02</v>
      </c>
      <c r="L66" s="5">
        <v>11855.989999999998</v>
      </c>
      <c r="M66" s="5">
        <v>7269.3200000000006</v>
      </c>
      <c r="N66" s="5">
        <v>2608.52</v>
      </c>
    </row>
    <row r="67" spans="1:14" x14ac:dyDescent="0.35">
      <c r="A67" s="3">
        <v>42762</v>
      </c>
      <c r="B67" s="5"/>
      <c r="C67" s="5"/>
      <c r="D67" s="5"/>
      <c r="E67" s="5"/>
      <c r="F67" s="5">
        <v>1748.04</v>
      </c>
      <c r="G67" s="5"/>
      <c r="H67" s="5">
        <v>2413.2500000000005</v>
      </c>
      <c r="I67" s="5">
        <v>3132.06</v>
      </c>
      <c r="J67" s="5">
        <v>37.799999999999997</v>
      </c>
      <c r="K67" s="5">
        <v>37698.62999999999</v>
      </c>
      <c r="L67" s="5">
        <v>63</v>
      </c>
      <c r="M67" s="5">
        <v>1883.86</v>
      </c>
      <c r="N67" s="5">
        <v>287.28000000000003</v>
      </c>
    </row>
    <row r="68" spans="1:14" x14ac:dyDescent="0.35">
      <c r="A68" s="3">
        <v>42764</v>
      </c>
      <c r="B68" s="5"/>
      <c r="C68" s="5"/>
      <c r="D68" s="5"/>
      <c r="E68" s="5">
        <v>6926.0000000000009</v>
      </c>
      <c r="F68" s="5">
        <v>1150.98</v>
      </c>
      <c r="G68" s="5">
        <v>1178.8800000000001</v>
      </c>
      <c r="H68" s="5">
        <v>1804.01</v>
      </c>
      <c r="I68" s="5">
        <v>1850.63</v>
      </c>
      <c r="J68" s="5">
        <v>12991.01</v>
      </c>
      <c r="K68" s="5">
        <v>8590.3499999999985</v>
      </c>
      <c r="L68" s="5">
        <v>1774.21</v>
      </c>
      <c r="M68" s="5">
        <v>4778.8100000000004</v>
      </c>
      <c r="N68" s="5">
        <v>4924.9799999999996</v>
      </c>
    </row>
    <row r="69" spans="1:14" x14ac:dyDescent="0.35">
      <c r="A69" s="3">
        <v>42765</v>
      </c>
      <c r="B69" s="5"/>
      <c r="C69" s="5"/>
      <c r="D69" s="5"/>
      <c r="E69" s="5">
        <v>522.71</v>
      </c>
      <c r="F69" s="5">
        <v>2351</v>
      </c>
      <c r="G69" s="5">
        <v>4693.29</v>
      </c>
      <c r="H69" s="5">
        <v>1309.29</v>
      </c>
      <c r="I69" s="5">
        <v>1214.29</v>
      </c>
      <c r="J69" s="5">
        <v>1757.23</v>
      </c>
      <c r="K69" s="5">
        <v>5965.24</v>
      </c>
      <c r="L69" s="5">
        <v>3516.54</v>
      </c>
      <c r="M69" s="5">
        <v>3478.04</v>
      </c>
      <c r="N69" s="5">
        <v>2017.18</v>
      </c>
    </row>
    <row r="70" spans="1:14" x14ac:dyDescent="0.35">
      <c r="A70" s="3">
        <v>42766</v>
      </c>
      <c r="B70" s="5"/>
      <c r="C70" s="5"/>
      <c r="D70" s="5"/>
      <c r="E70" s="5">
        <v>2473.63</v>
      </c>
      <c r="F70" s="5">
        <v>1080.79</v>
      </c>
      <c r="G70" s="5">
        <v>6045.01</v>
      </c>
      <c r="H70" s="5">
        <v>2401.2000000000003</v>
      </c>
      <c r="I70" s="5">
        <v>2533.8999999999996</v>
      </c>
      <c r="J70" s="5">
        <v>6534.34</v>
      </c>
      <c r="K70" s="5">
        <v>11695.67</v>
      </c>
      <c r="L70" s="5">
        <v>1297.02</v>
      </c>
      <c r="M70" s="5">
        <v>5163.0999999999995</v>
      </c>
      <c r="N70" s="5"/>
    </row>
    <row r="71" spans="1:14" x14ac:dyDescent="0.35">
      <c r="A71" s="3">
        <v>42767</v>
      </c>
      <c r="B71" s="5"/>
      <c r="C71" s="5"/>
      <c r="D71" s="5"/>
      <c r="E71" s="5">
        <v>1012.23</v>
      </c>
      <c r="F71" s="5">
        <v>3293.34</v>
      </c>
      <c r="G71" s="5">
        <v>597.24</v>
      </c>
      <c r="H71" s="5">
        <v>1789.83</v>
      </c>
      <c r="I71" s="5">
        <v>3570.1800000000003</v>
      </c>
      <c r="J71" s="5">
        <v>5959.6500000000005</v>
      </c>
      <c r="K71" s="5">
        <v>7862.92</v>
      </c>
      <c r="L71" s="5">
        <v>8678.369999999999</v>
      </c>
      <c r="M71" s="5">
        <v>25741.350000000002</v>
      </c>
      <c r="N71" s="5">
        <v>457.18</v>
      </c>
    </row>
    <row r="72" spans="1:14" x14ac:dyDescent="0.35">
      <c r="A72" s="3">
        <v>42768</v>
      </c>
      <c r="B72" s="5"/>
      <c r="C72" s="5"/>
      <c r="D72" s="5"/>
      <c r="E72" s="5">
        <v>1197.18</v>
      </c>
      <c r="F72" s="5">
        <v>1535.04</v>
      </c>
      <c r="G72" s="5">
        <v>1155.1500000000001</v>
      </c>
      <c r="H72" s="5">
        <v>2160.94</v>
      </c>
      <c r="I72" s="5">
        <v>2011.44</v>
      </c>
      <c r="J72" s="5">
        <v>2037.25</v>
      </c>
      <c r="K72" s="5">
        <v>3012.67</v>
      </c>
      <c r="L72" s="5">
        <v>1024.6300000000001</v>
      </c>
      <c r="M72" s="5">
        <v>4070.4800000000005</v>
      </c>
      <c r="N72" s="5">
        <v>49.78</v>
      </c>
    </row>
    <row r="73" spans="1:14" x14ac:dyDescent="0.35">
      <c r="A73" s="3">
        <v>42769</v>
      </c>
      <c r="B73" s="5"/>
      <c r="C73" s="5"/>
      <c r="D73" s="5"/>
      <c r="E73" s="5">
        <v>874.01</v>
      </c>
      <c r="F73" s="5">
        <v>14757.46</v>
      </c>
      <c r="G73" s="5">
        <v>2900.9199999999996</v>
      </c>
      <c r="H73" s="5">
        <v>35.880000000000003</v>
      </c>
      <c r="I73" s="5">
        <v>2037.0700000000002</v>
      </c>
      <c r="J73" s="5">
        <v>1108.0400000000002</v>
      </c>
      <c r="K73" s="5">
        <v>6028.6900000000005</v>
      </c>
      <c r="L73" s="5">
        <v>1692.32</v>
      </c>
      <c r="M73" s="5">
        <v>5336.5700000000006</v>
      </c>
      <c r="N73" s="5">
        <v>8294.0500000000011</v>
      </c>
    </row>
    <row r="74" spans="1:14" x14ac:dyDescent="0.35">
      <c r="A74" s="3">
        <v>42770</v>
      </c>
      <c r="B74" s="5"/>
      <c r="C74" s="5"/>
      <c r="D74" s="5"/>
      <c r="E74" s="5">
        <v>36</v>
      </c>
      <c r="F74" s="5">
        <v>563.22</v>
      </c>
      <c r="G74" s="5">
        <v>2496.91</v>
      </c>
      <c r="H74" s="5">
        <v>2647.18</v>
      </c>
      <c r="I74" s="5">
        <v>2170.2400000000002</v>
      </c>
      <c r="J74" s="5">
        <v>35.880000000000003</v>
      </c>
      <c r="K74" s="5">
        <v>1940.47</v>
      </c>
      <c r="L74" s="5">
        <v>2725.6099999999997</v>
      </c>
      <c r="M74" s="5">
        <v>1660.82</v>
      </c>
      <c r="N74" s="5">
        <v>3774.11</v>
      </c>
    </row>
    <row r="75" spans="1:14" x14ac:dyDescent="0.35">
      <c r="A75" s="3">
        <v>42771</v>
      </c>
      <c r="B75" s="5"/>
      <c r="C75" s="5"/>
      <c r="D75" s="5"/>
      <c r="E75" s="5">
        <v>524.38</v>
      </c>
      <c r="F75" s="5">
        <v>1439.13</v>
      </c>
      <c r="G75" s="5">
        <v>1201.0899999999999</v>
      </c>
      <c r="H75" s="5">
        <v>1920.77</v>
      </c>
      <c r="I75" s="5">
        <v>780.93999999999994</v>
      </c>
      <c r="J75" s="5">
        <v>25.19</v>
      </c>
      <c r="K75" s="5">
        <v>10304.560000000001</v>
      </c>
      <c r="L75" s="5">
        <v>8245.11</v>
      </c>
      <c r="M75" s="5">
        <v>902.91999999999985</v>
      </c>
      <c r="N75" s="5">
        <v>438.44</v>
      </c>
    </row>
    <row r="76" spans="1:14" x14ac:dyDescent="0.35">
      <c r="A76" s="3">
        <v>42798</v>
      </c>
      <c r="B76" s="5"/>
      <c r="C76" s="5"/>
      <c r="D76" s="5"/>
      <c r="E76" s="5"/>
      <c r="F76" s="5">
        <v>1223.6400000000001</v>
      </c>
      <c r="G76" s="5">
        <v>3588.6600000000003</v>
      </c>
      <c r="H76" s="5">
        <v>5221.3900000000012</v>
      </c>
      <c r="I76" s="5">
        <v>6416.58</v>
      </c>
      <c r="J76" s="5">
        <v>614.61999999999989</v>
      </c>
      <c r="K76" s="5">
        <v>15443.38</v>
      </c>
      <c r="L76" s="5">
        <v>5453.53</v>
      </c>
      <c r="M76" s="5">
        <v>2675.28</v>
      </c>
      <c r="N76" s="5">
        <v>3950.33</v>
      </c>
    </row>
    <row r="77" spans="1:14" x14ac:dyDescent="0.35">
      <c r="A77" s="3">
        <v>42800</v>
      </c>
      <c r="B77" s="5">
        <v>417.26</v>
      </c>
      <c r="C77" s="5"/>
      <c r="D77" s="5">
        <v>50.5</v>
      </c>
      <c r="E77" s="5"/>
      <c r="F77" s="5">
        <v>3931.5299999999997</v>
      </c>
      <c r="G77" s="5">
        <v>1445.7800000000002</v>
      </c>
      <c r="H77" s="5">
        <v>1602.93</v>
      </c>
      <c r="I77" s="5">
        <v>6694.7099999999991</v>
      </c>
      <c r="J77" s="5">
        <v>1398.32</v>
      </c>
      <c r="K77" s="5">
        <v>5399.84</v>
      </c>
      <c r="L77" s="5">
        <v>13730.91</v>
      </c>
      <c r="M77" s="5">
        <v>1290.58</v>
      </c>
      <c r="N77" s="5">
        <v>2964.72</v>
      </c>
    </row>
    <row r="78" spans="1:14" x14ac:dyDescent="0.35">
      <c r="A78" s="3">
        <v>42806</v>
      </c>
      <c r="B78" s="5"/>
      <c r="C78" s="5"/>
      <c r="D78" s="5"/>
      <c r="E78" s="5"/>
      <c r="F78" s="5">
        <v>1050.9100000000001</v>
      </c>
      <c r="G78" s="5">
        <v>1481.25</v>
      </c>
      <c r="H78" s="5">
        <v>518.17999999999995</v>
      </c>
      <c r="I78" s="5">
        <v>1118.8800000000001</v>
      </c>
      <c r="J78" s="5">
        <v>2602.3999999999996</v>
      </c>
      <c r="K78" s="5">
        <v>3736.41</v>
      </c>
      <c r="L78" s="5">
        <v>4230.95</v>
      </c>
      <c r="M78" s="5">
        <v>4445.99</v>
      </c>
      <c r="N78" s="5">
        <v>2083.11</v>
      </c>
    </row>
    <row r="79" spans="1:14" x14ac:dyDescent="0.35">
      <c r="A79" s="3">
        <v>42807</v>
      </c>
      <c r="B79" s="5"/>
      <c r="C79" s="5"/>
      <c r="D79" s="5"/>
      <c r="E79" s="5"/>
      <c r="F79" s="5">
        <v>8003.4399999999987</v>
      </c>
      <c r="G79" s="5">
        <v>2433.63</v>
      </c>
      <c r="H79" s="5">
        <v>1651.71</v>
      </c>
      <c r="I79" s="5">
        <v>2602.6200000000003</v>
      </c>
      <c r="J79" s="5">
        <v>2954.69</v>
      </c>
      <c r="K79" s="5">
        <v>2351.56</v>
      </c>
      <c r="L79" s="5">
        <v>1844.8</v>
      </c>
      <c r="M79" s="5">
        <v>5056.34</v>
      </c>
      <c r="N79" s="5"/>
    </row>
    <row r="80" spans="1:14" x14ac:dyDescent="0.35">
      <c r="A80" s="3">
        <v>42813</v>
      </c>
      <c r="B80" s="5"/>
      <c r="C80" s="5"/>
      <c r="D80" s="5"/>
      <c r="E80" s="5">
        <v>4125.33</v>
      </c>
      <c r="F80" s="5">
        <v>3587.8599999999997</v>
      </c>
      <c r="G80" s="5">
        <v>3813.54</v>
      </c>
      <c r="H80" s="5">
        <v>3482.65</v>
      </c>
      <c r="I80" s="5">
        <v>2301.62</v>
      </c>
      <c r="J80" s="5">
        <v>8252.2099999999991</v>
      </c>
      <c r="K80" s="5">
        <v>9364.02</v>
      </c>
      <c r="L80" s="5">
        <v>4452.4799999999996</v>
      </c>
      <c r="M80" s="5">
        <v>7279.4300000000012</v>
      </c>
      <c r="N80" s="5">
        <v>5962.21</v>
      </c>
    </row>
    <row r="81" spans="1:17" x14ac:dyDescent="0.35">
      <c r="A81" s="3">
        <v>42814</v>
      </c>
      <c r="B81" s="5"/>
      <c r="C81" s="5"/>
      <c r="D81" s="5">
        <v>812.97</v>
      </c>
      <c r="E81" s="5"/>
      <c r="F81" s="5">
        <v>1718.1899999999998</v>
      </c>
      <c r="G81" s="5">
        <v>1638.89</v>
      </c>
      <c r="H81" s="5">
        <v>858.81999999999994</v>
      </c>
      <c r="I81" s="5">
        <v>1571.3700000000001</v>
      </c>
      <c r="J81" s="5">
        <v>423.24</v>
      </c>
      <c r="K81" s="5">
        <v>1740.73</v>
      </c>
      <c r="L81" s="5">
        <v>2314.7799999999997</v>
      </c>
      <c r="M81" s="5">
        <v>2266.58</v>
      </c>
      <c r="N81" s="5">
        <v>2792.9700000000003</v>
      </c>
    </row>
    <row r="82" spans="1:17" x14ac:dyDescent="0.35">
      <c r="A82" s="4" t="s">
        <v>0</v>
      </c>
      <c r="B82" s="6">
        <v>417.26</v>
      </c>
      <c r="C82" s="6">
        <v>516.34</v>
      </c>
      <c r="D82" s="6">
        <v>1924.66</v>
      </c>
      <c r="E82" s="6">
        <v>17894.010000000002</v>
      </c>
      <c r="F82" s="6">
        <v>56101.539999999994</v>
      </c>
      <c r="G82" s="6">
        <v>35479.289999999994</v>
      </c>
      <c r="H82" s="6">
        <v>32281.630000000005</v>
      </c>
      <c r="I82" s="6">
        <v>46783</v>
      </c>
      <c r="J82" s="6">
        <v>53197.000000000007</v>
      </c>
      <c r="K82" s="6">
        <v>136556.16</v>
      </c>
      <c r="L82" s="6">
        <v>72900.25</v>
      </c>
      <c r="M82" s="6">
        <v>83299.470000000016</v>
      </c>
      <c r="N82" s="6">
        <v>40604.86</v>
      </c>
    </row>
    <row r="83" spans="1:17" x14ac:dyDescent="0.35">
      <c r="A83" s="11" t="s">
        <v>130</v>
      </c>
      <c r="B83" s="5">
        <f>PRODUCT(B82,B91:$P$91)</f>
        <v>662.4892558121486</v>
      </c>
      <c r="C83" s="5">
        <f>PRODUCT(C82,C91:$P$91)</f>
        <v>806.70192038236644</v>
      </c>
      <c r="D83" s="5">
        <f>PRODUCT(D82,D91:$P$91)</f>
        <v>2978.3015580383935</v>
      </c>
      <c r="E83" s="5">
        <f>PRODUCT(E82,E91:$P$91)</f>
        <v>26648.338543561033</v>
      </c>
      <c r="F83" s="5">
        <f>PRODUCT(F82,F91:$P$91)</f>
        <v>80633.304989161144</v>
      </c>
      <c r="G83" s="5">
        <f>PRODUCT(G82,G91:$P$91)</f>
        <v>50294.890521564274</v>
      </c>
      <c r="H83" s="5">
        <f>PRODUCT(H82,H91:$P$91)</f>
        <v>45793.560503174776</v>
      </c>
      <c r="I83" s="5">
        <f>PRODUCT(I82,I91:$P$91)</f>
        <v>66583.576580811219</v>
      </c>
      <c r="J83" s="5">
        <f>PRODUCT(J82,J91:$P$91)</f>
        <v>76107.61831615858</v>
      </c>
      <c r="K83" s="5">
        <f>PRODUCT(K82,K91:$P$91)</f>
        <v>192844.33617585248</v>
      </c>
      <c r="L83" s="5">
        <f>PRODUCT(L82,L91:$P$91)</f>
        <v>100444.28074535477</v>
      </c>
      <c r="M83" s="5">
        <f>PRODUCT(M82,M91:$P$91)</f>
        <v>111779.74291334876</v>
      </c>
      <c r="N83" s="5" t="s">
        <v>32</v>
      </c>
    </row>
    <row r="87" spans="1:17" s="10" customFormat="1" x14ac:dyDescent="0.35">
      <c r="A87" s="15" t="s">
        <v>24</v>
      </c>
      <c r="Q87" s="10" t="s">
        <v>37</v>
      </c>
    </row>
    <row r="88" spans="1:17" s="24" customFormat="1" x14ac:dyDescent="0.35">
      <c r="A88" s="23">
        <v>2008</v>
      </c>
      <c r="B88" s="23">
        <v>2009</v>
      </c>
      <c r="C88" s="23">
        <v>2010</v>
      </c>
      <c r="D88" s="23">
        <v>2011</v>
      </c>
      <c r="E88" s="23">
        <v>2012</v>
      </c>
      <c r="F88" s="23">
        <v>2013</v>
      </c>
      <c r="G88" s="23">
        <v>2014</v>
      </c>
      <c r="H88" s="23">
        <v>2015</v>
      </c>
      <c r="I88" s="23">
        <v>2016</v>
      </c>
      <c r="J88" s="23">
        <v>2017</v>
      </c>
      <c r="K88" s="23">
        <v>2018</v>
      </c>
      <c r="L88" s="23">
        <v>2019</v>
      </c>
      <c r="M88" s="23">
        <v>2020</v>
      </c>
      <c r="N88" s="23">
        <v>2021</v>
      </c>
      <c r="O88" s="23" t="s">
        <v>25</v>
      </c>
      <c r="P88" s="42" t="s">
        <v>129</v>
      </c>
    </row>
    <row r="89" spans="1:17" x14ac:dyDescent="0.35">
      <c r="A89" s="7">
        <v>4.5876307055422894</v>
      </c>
      <c r="B89" s="8">
        <v>1.6236443564852099</v>
      </c>
      <c r="C89" s="8">
        <v>0.96309892889521187</v>
      </c>
      <c r="D89" s="8">
        <v>3.908765900839728</v>
      </c>
      <c r="E89" s="8">
        <v>3.6150362463793551</v>
      </c>
      <c r="F89" s="8">
        <v>1.3889746916249779</v>
      </c>
      <c r="G89" s="8">
        <v>-6.9055864163058978E-2</v>
      </c>
      <c r="H89" s="8">
        <v>-0.32875013973152623</v>
      </c>
      <c r="I89" s="8">
        <v>-0.51947654708678348</v>
      </c>
      <c r="J89" s="8">
        <v>1.3083863171367671</v>
      </c>
      <c r="K89" s="8">
        <v>2.4942252144670052</v>
      </c>
      <c r="L89" s="8">
        <v>2.6775097969561568</v>
      </c>
      <c r="M89" s="8">
        <v>1.9325023003922803</v>
      </c>
      <c r="N89" s="8">
        <v>3.1603780536386905</v>
      </c>
      <c r="O89" s="8">
        <v>12.434449026970618</v>
      </c>
      <c r="P89" s="8">
        <v>13.5</v>
      </c>
      <c r="Q89" s="13" t="s">
        <v>48</v>
      </c>
    </row>
    <row r="90" spans="1:17" x14ac:dyDescent="0.35">
      <c r="A90">
        <f>A89/100</f>
        <v>4.5876307055422894E-2</v>
      </c>
      <c r="B90" s="11">
        <f t="shared" ref="B90:P90" si="0">B89/100</f>
        <v>1.6236443564852099E-2</v>
      </c>
      <c r="C90" s="11">
        <f t="shared" si="0"/>
        <v>9.6309892889521187E-3</v>
      </c>
      <c r="D90" s="11">
        <f t="shared" si="0"/>
        <v>3.908765900839728E-2</v>
      </c>
      <c r="E90" s="11">
        <f t="shared" si="0"/>
        <v>3.6150362463793551E-2</v>
      </c>
      <c r="F90" s="11">
        <f t="shared" si="0"/>
        <v>1.3889746916249779E-2</v>
      </c>
      <c r="G90" s="11">
        <f t="shared" si="0"/>
        <v>-6.9055864163058978E-4</v>
      </c>
      <c r="H90" s="11">
        <f t="shared" si="0"/>
        <v>-3.2875013973152623E-3</v>
      </c>
      <c r="I90" s="11">
        <f t="shared" si="0"/>
        <v>-5.1947654708678348E-3</v>
      </c>
      <c r="J90" s="11">
        <f t="shared" si="0"/>
        <v>1.3083863171367671E-2</v>
      </c>
      <c r="K90" s="11">
        <f t="shared" si="0"/>
        <v>2.4942252144670052E-2</v>
      </c>
      <c r="L90" s="11">
        <f t="shared" si="0"/>
        <v>2.6775097969561568E-2</v>
      </c>
      <c r="M90" s="11">
        <f t="shared" si="0"/>
        <v>1.9325023003922803E-2</v>
      </c>
      <c r="N90" s="11">
        <f t="shared" si="0"/>
        <v>3.1603780536386905E-2</v>
      </c>
      <c r="O90" s="11">
        <f t="shared" si="0"/>
        <v>0.12434449026970619</v>
      </c>
      <c r="P90" s="11">
        <f t="shared" si="0"/>
        <v>0.13500000000000001</v>
      </c>
    </row>
    <row r="91" spans="1:17" x14ac:dyDescent="0.35">
      <c r="A91">
        <f>A90+1</f>
        <v>1.0458763070554229</v>
      </c>
      <c r="B91" s="11">
        <f t="shared" ref="B91:P91" si="1">B90+1</f>
        <v>1.0162364435648521</v>
      </c>
      <c r="C91" s="11">
        <f t="shared" si="1"/>
        <v>1.0096309892889521</v>
      </c>
      <c r="D91" s="11">
        <f t="shared" si="1"/>
        <v>1.0390876590083973</v>
      </c>
      <c r="E91" s="11">
        <f t="shared" si="1"/>
        <v>1.0361503624637936</v>
      </c>
      <c r="F91" s="11">
        <f t="shared" si="1"/>
        <v>1.0138897469162498</v>
      </c>
      <c r="G91" s="11">
        <f t="shared" si="1"/>
        <v>0.99930944135836941</v>
      </c>
      <c r="H91" s="11">
        <f t="shared" si="1"/>
        <v>0.99671249860268474</v>
      </c>
      <c r="I91" s="11">
        <f t="shared" si="1"/>
        <v>0.99480523452913217</v>
      </c>
      <c r="J91" s="11">
        <f t="shared" si="1"/>
        <v>1.0130838631713677</v>
      </c>
      <c r="K91" s="11">
        <f t="shared" si="1"/>
        <v>1.0249422521446701</v>
      </c>
      <c r="L91" s="11">
        <f t="shared" si="1"/>
        <v>1.0267750979695616</v>
      </c>
      <c r="M91" s="11">
        <f t="shared" si="1"/>
        <v>1.0193250230039228</v>
      </c>
      <c r="N91" s="11">
        <f t="shared" si="1"/>
        <v>1.0316037805363869</v>
      </c>
      <c r="O91" s="11">
        <f t="shared" si="1"/>
        <v>1.1243444902697062</v>
      </c>
      <c r="P91" s="11">
        <f t="shared" si="1"/>
        <v>1.135</v>
      </c>
    </row>
    <row r="93" spans="1:17" s="10" customFormat="1" x14ac:dyDescent="0.35">
      <c r="A93" s="15" t="s">
        <v>47</v>
      </c>
      <c r="B93" s="10" t="s">
        <v>31</v>
      </c>
      <c r="C93" s="10">
        <v>2009</v>
      </c>
      <c r="D93" s="10">
        <v>2008</v>
      </c>
      <c r="E93" s="10">
        <v>2005</v>
      </c>
    </row>
    <row r="94" spans="1:17" x14ac:dyDescent="0.35">
      <c r="A94" t="s">
        <v>26</v>
      </c>
      <c r="B94">
        <f>COUNTA(A66:A81,A29:A57,A4:A20)</f>
        <v>62</v>
      </c>
      <c r="C94">
        <f>COUNTA(A66:A81)</f>
        <v>16</v>
      </c>
      <c r="D94">
        <f>COUNTA(A29:A57)</f>
        <v>29</v>
      </c>
      <c r="E94">
        <f>COUNTA(A4:A21)</f>
        <v>18</v>
      </c>
    </row>
    <row r="95" spans="1:17" x14ac:dyDescent="0.35">
      <c r="A95" t="s">
        <v>104</v>
      </c>
      <c r="B95">
        <f>SUM(C95:E95)</f>
        <v>59</v>
      </c>
      <c r="C95">
        <v>15</v>
      </c>
      <c r="D95">
        <v>28</v>
      </c>
      <c r="E95">
        <v>16</v>
      </c>
    </row>
    <row r="96" spans="1:17" s="11" customFormat="1" x14ac:dyDescent="0.35"/>
    <row r="97" spans="1:19" s="10" customFormat="1" x14ac:dyDescent="0.35">
      <c r="A97" s="15" t="s">
        <v>46</v>
      </c>
    </row>
    <row r="98" spans="1:19" s="10" customFormat="1" x14ac:dyDescent="0.35">
      <c r="A98" s="10" t="s">
        <v>51</v>
      </c>
      <c r="B98" s="10">
        <v>1</v>
      </c>
      <c r="C98" s="10">
        <v>2</v>
      </c>
      <c r="D98" s="10">
        <v>3</v>
      </c>
      <c r="E98" s="10">
        <v>4</v>
      </c>
      <c r="F98" s="10">
        <v>5</v>
      </c>
      <c r="G98" s="10">
        <v>6</v>
      </c>
      <c r="H98" s="10">
        <v>7</v>
      </c>
      <c r="I98" s="10">
        <v>8</v>
      </c>
      <c r="J98" s="10">
        <v>9</v>
      </c>
      <c r="K98" s="10">
        <v>10</v>
      </c>
      <c r="L98" s="10">
        <v>11</v>
      </c>
      <c r="M98" s="10">
        <v>12</v>
      </c>
      <c r="N98" s="10">
        <v>13</v>
      </c>
      <c r="O98" s="10">
        <v>14</v>
      </c>
      <c r="P98" s="10">
        <v>15</v>
      </c>
      <c r="Q98" s="10">
        <v>16</v>
      </c>
    </row>
    <row r="99" spans="1:19" s="10" customFormat="1" x14ac:dyDescent="0.35">
      <c r="A99" s="10" t="s">
        <v>33</v>
      </c>
      <c r="B99" s="10" t="s">
        <v>20</v>
      </c>
      <c r="C99" s="10" t="s">
        <v>21</v>
      </c>
      <c r="D99" s="10" t="s">
        <v>22</v>
      </c>
      <c r="E99" s="10" t="s">
        <v>4</v>
      </c>
      <c r="F99" s="10" t="s">
        <v>5</v>
      </c>
      <c r="G99" s="10" t="s">
        <v>6</v>
      </c>
      <c r="H99" s="10" t="s">
        <v>7</v>
      </c>
      <c r="I99" s="10" t="s">
        <v>8</v>
      </c>
      <c r="J99" s="10" t="s">
        <v>9</v>
      </c>
      <c r="K99" s="10" t="s">
        <v>10</v>
      </c>
      <c r="L99" s="10" t="s">
        <v>11</v>
      </c>
      <c r="M99" s="10" t="s">
        <v>12</v>
      </c>
      <c r="N99" s="10" t="s">
        <v>13</v>
      </c>
      <c r="O99" s="19" t="s">
        <v>27</v>
      </c>
      <c r="P99" s="19" t="s">
        <v>28</v>
      </c>
      <c r="Q99" s="19" t="s">
        <v>29</v>
      </c>
      <c r="R99" s="19" t="s">
        <v>30</v>
      </c>
    </row>
    <row r="100" spans="1:19" x14ac:dyDescent="0.35">
      <c r="A100" t="s">
        <v>131</v>
      </c>
      <c r="B100" s="9">
        <f>B59</f>
        <v>4556.7372002609081</v>
      </c>
      <c r="C100" s="9">
        <f>B83+C59</f>
        <v>662.4892558121486</v>
      </c>
      <c r="D100" s="9">
        <f>C83+D59</f>
        <v>806.70192038236644</v>
      </c>
      <c r="E100" s="9">
        <f t="shared" ref="E100:N100" si="2">D83+E59+B22</f>
        <v>6475.6580156089449</v>
      </c>
      <c r="F100" s="9">
        <f t="shared" si="2"/>
        <v>26858.522060335159</v>
      </c>
      <c r="G100" s="9">
        <f t="shared" si="2"/>
        <v>304561.72442729626</v>
      </c>
      <c r="H100" s="9">
        <f t="shared" si="2"/>
        <v>148104.97862753179</v>
      </c>
      <c r="I100" s="9">
        <f t="shared" si="2"/>
        <v>167274.98525338009</v>
      </c>
      <c r="J100" s="9">
        <f t="shared" si="2"/>
        <v>351099.71802838304</v>
      </c>
      <c r="K100" s="9">
        <f t="shared" si="2"/>
        <v>484889.87188060966</v>
      </c>
      <c r="L100" s="9">
        <f t="shared" si="2"/>
        <v>397831.70115007245</v>
      </c>
      <c r="M100" s="9">
        <f t="shared" si="2"/>
        <v>418512.23298478813</v>
      </c>
      <c r="N100" s="9">
        <f t="shared" si="2"/>
        <v>464445.57795836334</v>
      </c>
      <c r="O100" s="9">
        <f>O59+L22</f>
        <v>345561.7622831979</v>
      </c>
      <c r="P100" s="9">
        <f>O83+M22</f>
        <v>87198.536681899175</v>
      </c>
      <c r="Q100" s="9">
        <f>P83+Q59+N22</f>
        <v>227681.63193336845</v>
      </c>
      <c r="R100" s="9">
        <f>Q83+R59+O22</f>
        <v>120871.08264906457</v>
      </c>
      <c r="S100" s="9"/>
    </row>
    <row r="101" spans="1:19" s="16" customFormat="1" x14ac:dyDescent="0.35">
      <c r="A101" s="16" t="s">
        <v>45</v>
      </c>
      <c r="B101" s="25">
        <f>B100</f>
        <v>4556.7372002609081</v>
      </c>
      <c r="C101" s="25">
        <f t="shared" ref="C101:N101" si="3">C100</f>
        <v>662.4892558121486</v>
      </c>
      <c r="D101" s="25">
        <f t="shared" si="3"/>
        <v>806.70192038236644</v>
      </c>
      <c r="E101" s="25">
        <f t="shared" si="3"/>
        <v>6475.6580156089449</v>
      </c>
      <c r="F101" s="25">
        <f t="shared" si="3"/>
        <v>26858.522060335159</v>
      </c>
      <c r="G101" s="25">
        <f t="shared" si="3"/>
        <v>304561.72442729626</v>
      </c>
      <c r="H101" s="25">
        <f t="shared" si="3"/>
        <v>148104.97862753179</v>
      </c>
      <c r="I101" s="25">
        <f t="shared" si="3"/>
        <v>167274.98525338009</v>
      </c>
      <c r="J101" s="25">
        <f>J100</f>
        <v>351099.71802838304</v>
      </c>
      <c r="K101" s="25">
        <f t="shared" si="3"/>
        <v>484889.87188060966</v>
      </c>
      <c r="L101" s="25">
        <f t="shared" si="3"/>
        <v>397831.70115007245</v>
      </c>
      <c r="M101" s="25">
        <f t="shared" si="3"/>
        <v>418512.23298478813</v>
      </c>
      <c r="N101" s="25">
        <f t="shared" si="3"/>
        <v>464445.57795836334</v>
      </c>
      <c r="O101" s="26">
        <f>TREND(B101:N101,B98:N98,O98)</f>
        <v>535972.37892288796</v>
      </c>
      <c r="P101" s="26">
        <f>TREND(B101:O101,B98:O98,P98)</f>
        <v>582033.47812326951</v>
      </c>
      <c r="Q101" s="26">
        <f>TREND(B101:P101,B98:P98,Q98)</f>
        <v>628094.57732365082</v>
      </c>
    </row>
  </sheetData>
  <hyperlinks>
    <hyperlink ref="Q89" r:id="rId1" location="collapse-395841664808729543 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showGridLines="0" zoomScale="60" zoomScaleNormal="60" workbookViewId="0">
      <selection activeCell="L30" sqref="L30"/>
    </sheetView>
  </sheetViews>
  <sheetFormatPr defaultRowHeight="14.5" x14ac:dyDescent="0.35"/>
  <cols>
    <col min="1" max="1" width="31.90625" bestFit="1" customWidth="1"/>
    <col min="2" max="2" width="15" bestFit="1" customWidth="1"/>
    <col min="3" max="3" width="8.81640625" bestFit="1" customWidth="1"/>
    <col min="4" max="4" width="11" customWidth="1"/>
    <col min="5" max="6" width="12.08984375" bestFit="1" customWidth="1"/>
    <col min="7" max="9" width="13.08984375" bestFit="1" customWidth="1"/>
    <col min="10" max="10" width="13.08984375" customWidth="1"/>
    <col min="11" max="16" width="13.08984375" bestFit="1" customWidth="1"/>
    <col min="17" max="17" width="14.81640625" bestFit="1" customWidth="1"/>
  </cols>
  <sheetData>
    <row r="1" spans="1:17" s="15" customFormat="1" x14ac:dyDescent="0.35">
      <c r="B1" s="15" t="s">
        <v>43</v>
      </c>
    </row>
    <row r="2" spans="1:17" s="24" customFormat="1" x14ac:dyDescent="0.35">
      <c r="A2" s="23" t="s">
        <v>42</v>
      </c>
      <c r="B2" s="23">
        <v>2008</v>
      </c>
      <c r="C2" s="23">
        <v>2009</v>
      </c>
      <c r="D2" s="23">
        <v>2010</v>
      </c>
      <c r="E2" s="23">
        <v>2011</v>
      </c>
      <c r="F2" s="23">
        <v>2012</v>
      </c>
      <c r="G2" s="23">
        <v>2013</v>
      </c>
      <c r="H2" s="23">
        <v>2014</v>
      </c>
      <c r="I2" s="23">
        <v>2015</v>
      </c>
      <c r="J2" s="23">
        <v>2016</v>
      </c>
      <c r="K2" s="23">
        <v>2017</v>
      </c>
      <c r="L2" s="23">
        <v>2018</v>
      </c>
      <c r="M2" s="23">
        <v>2019</v>
      </c>
      <c r="N2" s="23">
        <v>2020</v>
      </c>
      <c r="O2" s="23">
        <v>2021</v>
      </c>
      <c r="P2" s="23">
        <v>2022</v>
      </c>
      <c r="Q2" s="23" t="s">
        <v>0</v>
      </c>
    </row>
    <row r="3" spans="1:17" x14ac:dyDescent="0.35">
      <c r="A3" s="3">
        <v>42274</v>
      </c>
      <c r="B3" s="5"/>
      <c r="C3" s="5">
        <v>16.52</v>
      </c>
      <c r="D3" s="5">
        <v>740.7700000000001</v>
      </c>
      <c r="E3" s="5">
        <v>5488.66</v>
      </c>
      <c r="F3" s="5">
        <v>5.0999999999999996</v>
      </c>
      <c r="G3" s="5">
        <v>8031.7</v>
      </c>
      <c r="H3" s="5">
        <v>3011.97</v>
      </c>
      <c r="I3" s="5">
        <v>890.72</v>
      </c>
      <c r="J3" s="5">
        <v>960.06000000000006</v>
      </c>
      <c r="K3" s="5">
        <v>996.59</v>
      </c>
      <c r="L3" s="5">
        <v>3594.23</v>
      </c>
      <c r="M3" s="5">
        <v>2605.6099999999997</v>
      </c>
      <c r="N3" s="5">
        <v>8906.9499999999989</v>
      </c>
      <c r="O3" s="5">
        <v>2413.1800000000003</v>
      </c>
      <c r="P3" s="5">
        <v>977.82</v>
      </c>
      <c r="Q3" s="5">
        <f>SUM(B3:P3)</f>
        <v>38639.880000000005</v>
      </c>
    </row>
    <row r="4" spans="1:17" x14ac:dyDescent="0.35">
      <c r="A4" s="3">
        <v>42310</v>
      </c>
      <c r="B4" s="5"/>
      <c r="C4" s="5"/>
      <c r="D4" s="5"/>
      <c r="E4" s="5"/>
      <c r="F4" s="5"/>
      <c r="G4" s="5">
        <v>194.44</v>
      </c>
      <c r="H4" s="5">
        <v>2773.1600000000003</v>
      </c>
      <c r="I4" s="5">
        <v>2622.71</v>
      </c>
      <c r="J4" s="5">
        <v>3933.7200000000003</v>
      </c>
      <c r="K4" s="5">
        <v>6035.2300000000005</v>
      </c>
      <c r="L4" s="5">
        <v>1574.2399999999998</v>
      </c>
      <c r="M4" s="5">
        <v>5723.39</v>
      </c>
      <c r="N4" s="5">
        <v>942.76</v>
      </c>
      <c r="O4" s="5">
        <v>1340.47</v>
      </c>
      <c r="P4" s="5">
        <v>1990.6200000000001</v>
      </c>
      <c r="Q4" s="5">
        <f t="shared" ref="Q4:Q64" si="0">SUM(B4:P4)</f>
        <v>27130.739999999998</v>
      </c>
    </row>
    <row r="5" spans="1:17" x14ac:dyDescent="0.35">
      <c r="A5" s="3">
        <v>42311</v>
      </c>
      <c r="B5" s="5"/>
      <c r="C5" s="5"/>
      <c r="D5" s="5"/>
      <c r="E5" s="5"/>
      <c r="F5" s="5"/>
      <c r="G5" s="5">
        <v>2234.92</v>
      </c>
      <c r="H5" s="5">
        <v>3655.91</v>
      </c>
      <c r="I5" s="5">
        <v>2706.7900000000004</v>
      </c>
      <c r="J5" s="5">
        <v>2075.33</v>
      </c>
      <c r="K5" s="5">
        <v>7337.0700000000006</v>
      </c>
      <c r="L5" s="5">
        <v>81.45</v>
      </c>
      <c r="M5" s="5">
        <v>1860.1899999999998</v>
      </c>
      <c r="N5" s="5">
        <v>1997.44</v>
      </c>
      <c r="O5" s="5">
        <v>11177.730000000001</v>
      </c>
      <c r="P5" s="5">
        <v>6353.27</v>
      </c>
      <c r="Q5" s="5">
        <f t="shared" si="0"/>
        <v>39480.100000000006</v>
      </c>
    </row>
    <row r="6" spans="1:17" x14ac:dyDescent="0.35">
      <c r="A6" s="3">
        <v>42314</v>
      </c>
      <c r="B6" s="5"/>
      <c r="C6" s="5"/>
      <c r="D6" s="5"/>
      <c r="E6" s="5"/>
      <c r="F6" s="5"/>
      <c r="G6" s="5">
        <v>4158.51</v>
      </c>
      <c r="H6" s="5">
        <v>3194.95</v>
      </c>
      <c r="I6" s="5">
        <v>2579.75</v>
      </c>
      <c r="J6" s="5">
        <v>1858.46</v>
      </c>
      <c r="K6" s="5">
        <v>802.09</v>
      </c>
      <c r="L6" s="5">
        <v>5814.58</v>
      </c>
      <c r="M6" s="5">
        <v>1343.46</v>
      </c>
      <c r="N6" s="5">
        <v>2093.37</v>
      </c>
      <c r="O6" s="5">
        <v>6787.5</v>
      </c>
      <c r="P6" s="5">
        <v>2614.2799999999997</v>
      </c>
      <c r="Q6" s="5">
        <f t="shared" si="0"/>
        <v>31246.949999999993</v>
      </c>
    </row>
    <row r="7" spans="1:17" x14ac:dyDescent="0.35">
      <c r="A7" s="3">
        <v>42315</v>
      </c>
      <c r="B7" s="5"/>
      <c r="C7" s="5"/>
      <c r="D7" s="5"/>
      <c r="E7" s="5"/>
      <c r="F7" s="5"/>
      <c r="G7" s="5">
        <v>3780.91</v>
      </c>
      <c r="H7" s="5">
        <v>3647.9399999999996</v>
      </c>
      <c r="I7" s="5">
        <v>1639.44</v>
      </c>
      <c r="J7" s="5">
        <v>1614.98</v>
      </c>
      <c r="K7" s="5">
        <v>1335</v>
      </c>
      <c r="L7" s="5">
        <v>5136.8999999999996</v>
      </c>
      <c r="M7" s="5">
        <v>3251.85</v>
      </c>
      <c r="N7" s="5">
        <v>4789.71</v>
      </c>
      <c r="O7" s="5">
        <v>2028.07</v>
      </c>
      <c r="P7" s="5"/>
      <c r="Q7" s="5">
        <f t="shared" si="0"/>
        <v>27224.799999999996</v>
      </c>
    </row>
    <row r="8" spans="1:17" x14ac:dyDescent="0.35">
      <c r="A8" s="3">
        <v>42316</v>
      </c>
      <c r="B8" s="5"/>
      <c r="C8" s="5"/>
      <c r="D8" s="5"/>
      <c r="E8" s="5"/>
      <c r="F8" s="5"/>
      <c r="G8" s="5">
        <v>4250</v>
      </c>
      <c r="H8" s="5">
        <v>2680.02</v>
      </c>
      <c r="I8" s="5">
        <v>2201.11</v>
      </c>
      <c r="J8" s="5">
        <v>2982.52</v>
      </c>
      <c r="K8" s="5">
        <v>4490.3099999999995</v>
      </c>
      <c r="L8" s="5">
        <v>1813.95</v>
      </c>
      <c r="M8" s="5">
        <v>1941.9899999999998</v>
      </c>
      <c r="N8" s="5">
        <v>2568.4300000000003</v>
      </c>
      <c r="O8" s="5">
        <v>4818.9399999999996</v>
      </c>
      <c r="P8" s="5">
        <v>8240.77</v>
      </c>
      <c r="Q8" s="5">
        <f t="shared" si="0"/>
        <v>35988.04</v>
      </c>
    </row>
    <row r="9" spans="1:17" x14ac:dyDescent="0.35">
      <c r="A9" s="3">
        <v>42319</v>
      </c>
      <c r="B9" s="5"/>
      <c r="C9" s="5"/>
      <c r="D9" s="5"/>
      <c r="E9" s="5"/>
      <c r="F9" s="5"/>
      <c r="G9" s="5">
        <v>3070.7799999999997</v>
      </c>
      <c r="H9" s="5">
        <v>5583.3600000000006</v>
      </c>
      <c r="I9" s="5">
        <v>1857.23</v>
      </c>
      <c r="J9" s="5">
        <v>3947.0200000000004</v>
      </c>
      <c r="K9" s="5">
        <v>5004.67</v>
      </c>
      <c r="L9" s="5">
        <v>10295.83</v>
      </c>
      <c r="M9" s="5">
        <v>4282.07</v>
      </c>
      <c r="N9" s="5">
        <v>3333.08</v>
      </c>
      <c r="O9" s="5">
        <v>14246.9</v>
      </c>
      <c r="P9" s="5">
        <v>3111.56</v>
      </c>
      <c r="Q9" s="5">
        <f t="shared" si="0"/>
        <v>54732.5</v>
      </c>
    </row>
    <row r="10" spans="1:17" x14ac:dyDescent="0.35">
      <c r="A10" s="3">
        <v>42320</v>
      </c>
      <c r="B10" s="5"/>
      <c r="C10" s="5"/>
      <c r="D10" s="5"/>
      <c r="E10" s="5"/>
      <c r="F10" s="5"/>
      <c r="G10" s="5">
        <v>1655.17</v>
      </c>
      <c r="H10" s="5">
        <v>103.3</v>
      </c>
      <c r="I10" s="5"/>
      <c r="J10" s="5">
        <v>2932.67</v>
      </c>
      <c r="K10" s="5">
        <v>91.5</v>
      </c>
      <c r="L10" s="5">
        <v>985</v>
      </c>
      <c r="M10" s="5">
        <v>1542.24</v>
      </c>
      <c r="N10" s="5">
        <v>12600</v>
      </c>
      <c r="O10" s="5">
        <v>846.8900000000001</v>
      </c>
      <c r="P10" s="5">
        <v>9180.42</v>
      </c>
      <c r="Q10" s="5">
        <f t="shared" si="0"/>
        <v>29937.190000000002</v>
      </c>
    </row>
    <row r="11" spans="1:17" x14ac:dyDescent="0.35">
      <c r="A11" s="3">
        <v>42321</v>
      </c>
      <c r="B11" s="5"/>
      <c r="C11" s="5"/>
      <c r="D11" s="5">
        <v>153.81</v>
      </c>
      <c r="E11" s="5"/>
      <c r="F11" s="5">
        <v>17445.12</v>
      </c>
      <c r="G11" s="5">
        <v>8538.4</v>
      </c>
      <c r="H11" s="5">
        <v>2046.53</v>
      </c>
      <c r="I11" s="5">
        <v>5122.3599999999997</v>
      </c>
      <c r="J11" s="5">
        <v>44.1</v>
      </c>
      <c r="K11" s="5">
        <v>4725.62</v>
      </c>
      <c r="L11" s="5">
        <v>1946.94</v>
      </c>
      <c r="M11" s="5">
        <v>2563.9399999999996</v>
      </c>
      <c r="N11" s="5">
        <v>2137.3000000000002</v>
      </c>
      <c r="O11" s="5">
        <v>3084.49</v>
      </c>
      <c r="P11" s="5">
        <v>5097.51</v>
      </c>
      <c r="Q11" s="5">
        <f t="shared" si="0"/>
        <v>52906.12000000001</v>
      </c>
    </row>
    <row r="12" spans="1:17" x14ac:dyDescent="0.35">
      <c r="A12" s="3">
        <v>42322</v>
      </c>
      <c r="B12" s="5"/>
      <c r="C12" s="5"/>
      <c r="D12" s="5"/>
      <c r="E12" s="5"/>
      <c r="F12" s="5"/>
      <c r="G12" s="5">
        <v>1636.25</v>
      </c>
      <c r="H12" s="5">
        <v>3817.38</v>
      </c>
      <c r="I12" s="5">
        <v>1117.1300000000001</v>
      </c>
      <c r="J12" s="5">
        <v>2280.31</v>
      </c>
      <c r="K12" s="5">
        <v>3324.42</v>
      </c>
      <c r="L12" s="5">
        <v>1447.48</v>
      </c>
      <c r="M12" s="5">
        <v>10339.44</v>
      </c>
      <c r="N12" s="5">
        <v>3186.54</v>
      </c>
      <c r="O12" s="5">
        <v>6163.76</v>
      </c>
      <c r="P12" s="5">
        <v>167.27</v>
      </c>
      <c r="Q12" s="5">
        <f t="shared" si="0"/>
        <v>33479.979999999996</v>
      </c>
    </row>
    <row r="13" spans="1:17" x14ac:dyDescent="0.35">
      <c r="A13" s="3">
        <v>42323</v>
      </c>
      <c r="B13" s="5"/>
      <c r="C13" s="5"/>
      <c r="D13" s="5"/>
      <c r="E13" s="5"/>
      <c r="F13" s="5"/>
      <c r="G13" s="5"/>
      <c r="H13" s="5">
        <v>1393.67</v>
      </c>
      <c r="I13" s="5">
        <v>1307.9899999999998</v>
      </c>
      <c r="J13" s="5">
        <v>1720.03</v>
      </c>
      <c r="K13" s="5">
        <v>3152.21</v>
      </c>
      <c r="L13" s="5">
        <v>2088.3000000000002</v>
      </c>
      <c r="M13" s="5">
        <v>8010.61</v>
      </c>
      <c r="N13" s="5">
        <v>2259.9499999999998</v>
      </c>
      <c r="O13" s="5">
        <v>4616.5600000000004</v>
      </c>
      <c r="P13" s="5"/>
      <c r="Q13" s="5">
        <f t="shared" si="0"/>
        <v>24549.320000000003</v>
      </c>
    </row>
    <row r="14" spans="1:17" x14ac:dyDescent="0.35">
      <c r="A14" s="3">
        <v>42326</v>
      </c>
      <c r="B14" s="5">
        <v>1402.1</v>
      </c>
      <c r="C14" s="5"/>
      <c r="D14" s="5">
        <v>557.58999999999992</v>
      </c>
      <c r="E14" s="5">
        <v>565.13</v>
      </c>
      <c r="F14" s="5">
        <v>1357.6299999999999</v>
      </c>
      <c r="G14" s="5">
        <v>848.55</v>
      </c>
      <c r="H14" s="5">
        <v>3749.44</v>
      </c>
      <c r="I14" s="5">
        <v>1561.9499999999998</v>
      </c>
      <c r="J14" s="5">
        <v>48380.83</v>
      </c>
      <c r="K14" s="5">
        <v>11796.89</v>
      </c>
      <c r="L14" s="5">
        <v>3578.13</v>
      </c>
      <c r="M14" s="5">
        <v>7197.87</v>
      </c>
      <c r="N14" s="5">
        <v>12635.68</v>
      </c>
      <c r="O14" s="5">
        <v>18807.400000000001</v>
      </c>
      <c r="P14" s="5">
        <v>3374.4</v>
      </c>
      <c r="Q14" s="5">
        <f t="shared" si="0"/>
        <v>115813.59</v>
      </c>
    </row>
    <row r="15" spans="1:17" x14ac:dyDescent="0.35">
      <c r="A15" s="3">
        <v>42327</v>
      </c>
      <c r="B15" s="5"/>
      <c r="C15" s="5"/>
      <c r="D15" s="5">
        <v>295</v>
      </c>
      <c r="E15" s="5">
        <v>3476.68</v>
      </c>
      <c r="F15" s="5">
        <v>187</v>
      </c>
      <c r="G15" s="5">
        <v>3626.7999999999997</v>
      </c>
      <c r="H15" s="5">
        <v>1901.4299999999998</v>
      </c>
      <c r="I15" s="5">
        <v>1934.98</v>
      </c>
      <c r="J15" s="5">
        <v>2315.83</v>
      </c>
      <c r="K15" s="5">
        <v>4079.05</v>
      </c>
      <c r="L15" s="5">
        <v>3627.7399999999993</v>
      </c>
      <c r="M15" s="5">
        <v>2168.4299999999998</v>
      </c>
      <c r="N15" s="5">
        <v>12405.93</v>
      </c>
      <c r="O15" s="5">
        <v>5801.7999999999993</v>
      </c>
      <c r="P15" s="5">
        <v>1289.3900000000001</v>
      </c>
      <c r="Q15" s="5">
        <f t="shared" si="0"/>
        <v>43110.06</v>
      </c>
    </row>
    <row r="16" spans="1:17" x14ac:dyDescent="0.35">
      <c r="A16" s="3">
        <v>42328</v>
      </c>
      <c r="B16" s="5"/>
      <c r="C16" s="5"/>
      <c r="D16" s="5"/>
      <c r="E16" s="5"/>
      <c r="F16" s="5"/>
      <c r="G16" s="5">
        <v>2715.51</v>
      </c>
      <c r="H16" s="5">
        <v>5057.5599999999995</v>
      </c>
      <c r="I16" s="5"/>
      <c r="J16" s="5">
        <v>518.17999999999995</v>
      </c>
      <c r="K16" s="5"/>
      <c r="L16" s="5">
        <v>797.14</v>
      </c>
      <c r="M16" s="5"/>
      <c r="N16" s="5">
        <v>81366.77</v>
      </c>
      <c r="O16" s="5">
        <v>5762.04</v>
      </c>
      <c r="P16" s="5"/>
      <c r="Q16" s="5">
        <f t="shared" si="0"/>
        <v>96217.2</v>
      </c>
    </row>
    <row r="17" spans="1:17" x14ac:dyDescent="0.35">
      <c r="A17" s="3">
        <v>42329</v>
      </c>
      <c r="B17" s="5"/>
      <c r="C17" s="5"/>
      <c r="D17" s="5"/>
      <c r="E17" s="5"/>
      <c r="F17" s="5"/>
      <c r="G17" s="5">
        <v>146.66</v>
      </c>
      <c r="H17" s="5">
        <v>9248.4199999999983</v>
      </c>
      <c r="I17" s="5">
        <v>368.47</v>
      </c>
      <c r="J17" s="5">
        <v>1763.6299999999997</v>
      </c>
      <c r="K17" s="5">
        <v>324.79000000000002</v>
      </c>
      <c r="L17" s="5">
        <v>4117.07</v>
      </c>
      <c r="M17" s="5">
        <v>2564.52</v>
      </c>
      <c r="N17" s="5">
        <v>5105.59</v>
      </c>
      <c r="O17" s="5">
        <v>2424.77</v>
      </c>
      <c r="P17" s="5">
        <v>200.22</v>
      </c>
      <c r="Q17" s="5">
        <f t="shared" si="0"/>
        <v>26264.14</v>
      </c>
    </row>
    <row r="18" spans="1:17" x14ac:dyDescent="0.35">
      <c r="A18" s="3">
        <v>42554</v>
      </c>
      <c r="B18" s="5"/>
      <c r="C18" s="5"/>
      <c r="D18" s="5"/>
      <c r="E18" s="5"/>
      <c r="F18" s="5"/>
      <c r="G18" s="5">
        <v>6329.01</v>
      </c>
      <c r="H18" s="5">
        <v>2721.09</v>
      </c>
      <c r="I18" s="5">
        <v>401.54999999999995</v>
      </c>
      <c r="J18" s="5">
        <v>3264.62</v>
      </c>
      <c r="K18" s="5">
        <v>1808.6799999999998</v>
      </c>
      <c r="L18" s="5">
        <v>296</v>
      </c>
      <c r="M18" s="5">
        <v>3987.92</v>
      </c>
      <c r="N18" s="5">
        <v>10516.61</v>
      </c>
      <c r="O18" s="5">
        <v>718.64</v>
      </c>
      <c r="P18" s="5">
        <v>12678.61</v>
      </c>
      <c r="Q18" s="5">
        <f t="shared" si="0"/>
        <v>42722.73</v>
      </c>
    </row>
    <row r="19" spans="1:17" x14ac:dyDescent="0.35">
      <c r="A19" s="3">
        <v>42555</v>
      </c>
      <c r="B19" s="5"/>
      <c r="C19" s="5"/>
      <c r="D19" s="5"/>
      <c r="E19" s="5"/>
      <c r="F19" s="5"/>
      <c r="G19" s="5">
        <v>36.880000000000003</v>
      </c>
      <c r="H19" s="5">
        <v>2124.4799999999996</v>
      </c>
      <c r="I19" s="5">
        <v>9125.7099999999991</v>
      </c>
      <c r="J19" s="5">
        <v>4036.8900000000003</v>
      </c>
      <c r="K19" s="5">
        <v>1621.37</v>
      </c>
      <c r="L19" s="5">
        <v>1172.44</v>
      </c>
      <c r="M19" s="5">
        <v>2599.52</v>
      </c>
      <c r="N19" s="5">
        <v>9556.82</v>
      </c>
      <c r="O19" s="5">
        <v>10404.89</v>
      </c>
      <c r="P19" s="5">
        <v>1841.93</v>
      </c>
      <c r="Q19" s="5">
        <f t="shared" si="0"/>
        <v>42520.93</v>
      </c>
    </row>
    <row r="20" spans="1:17" x14ac:dyDescent="0.35">
      <c r="A20" s="3">
        <v>42556</v>
      </c>
      <c r="B20" s="5"/>
      <c r="C20" s="5"/>
      <c r="D20" s="5"/>
      <c r="E20" s="5"/>
      <c r="F20" s="5"/>
      <c r="G20" s="5">
        <v>1794.59</v>
      </c>
      <c r="H20" s="5">
        <v>4672.2</v>
      </c>
      <c r="I20" s="5">
        <v>3049.58</v>
      </c>
      <c r="J20" s="5">
        <v>35448</v>
      </c>
      <c r="K20" s="5">
        <v>2219.5600000000004</v>
      </c>
      <c r="L20" s="5">
        <v>2029.21</v>
      </c>
      <c r="M20" s="5">
        <v>4095.31</v>
      </c>
      <c r="N20" s="5">
        <v>10183.369999999999</v>
      </c>
      <c r="O20" s="5">
        <v>13487.880000000003</v>
      </c>
      <c r="P20" s="5">
        <v>1584.4399999999998</v>
      </c>
      <c r="Q20" s="5">
        <f t="shared" si="0"/>
        <v>78564.14</v>
      </c>
    </row>
    <row r="21" spans="1:17" x14ac:dyDescent="0.35">
      <c r="A21" s="3">
        <v>42557</v>
      </c>
      <c r="B21" s="5"/>
      <c r="C21" s="5"/>
      <c r="D21" s="5"/>
      <c r="E21" s="5"/>
      <c r="F21" s="5"/>
      <c r="G21" s="5">
        <v>2102.9</v>
      </c>
      <c r="H21" s="5">
        <v>6026.6900000000005</v>
      </c>
      <c r="I21" s="5">
        <v>520.48</v>
      </c>
      <c r="J21" s="5">
        <v>4802.3899999999994</v>
      </c>
      <c r="K21" s="5">
        <v>3533.55</v>
      </c>
      <c r="L21" s="5">
        <v>4747.6000000000004</v>
      </c>
      <c r="M21" s="5">
        <v>12609.03</v>
      </c>
      <c r="N21" s="5">
        <v>13145.41</v>
      </c>
      <c r="O21" s="5">
        <v>2607.3200000000002</v>
      </c>
      <c r="P21" s="5">
        <v>279.62</v>
      </c>
      <c r="Q21" s="5">
        <f t="shared" si="0"/>
        <v>50374.990000000005</v>
      </c>
    </row>
    <row r="22" spans="1:17" x14ac:dyDescent="0.35">
      <c r="A22" s="3">
        <v>42558</v>
      </c>
      <c r="B22" s="5"/>
      <c r="C22" s="5"/>
      <c r="D22" s="5"/>
      <c r="E22" s="5">
        <v>29.75</v>
      </c>
      <c r="F22" s="5">
        <v>4.0999999999999996</v>
      </c>
      <c r="G22" s="5">
        <v>3699.5299999999997</v>
      </c>
      <c r="H22" s="5">
        <v>199.99</v>
      </c>
      <c r="I22" s="5">
        <v>2022.1</v>
      </c>
      <c r="J22" s="5">
        <v>679.28</v>
      </c>
      <c r="K22" s="5">
        <v>5500.2500000000009</v>
      </c>
      <c r="L22" s="5">
        <v>1513.9</v>
      </c>
      <c r="M22" s="5">
        <v>1890.84</v>
      </c>
      <c r="N22" s="5">
        <v>8099.13</v>
      </c>
      <c r="O22" s="5">
        <v>2145.1999999999998</v>
      </c>
      <c r="P22" s="5"/>
      <c r="Q22" s="5">
        <f t="shared" si="0"/>
        <v>25784.07</v>
      </c>
    </row>
    <row r="23" spans="1:17" x14ac:dyDescent="0.35">
      <c r="A23" s="3">
        <v>42559</v>
      </c>
      <c r="B23" s="5"/>
      <c r="C23" s="5"/>
      <c r="D23" s="5"/>
      <c r="E23" s="5"/>
      <c r="F23" s="5"/>
      <c r="G23" s="5">
        <v>3012.88</v>
      </c>
      <c r="H23" s="5">
        <v>1200.05</v>
      </c>
      <c r="I23" s="5">
        <v>3556.32</v>
      </c>
      <c r="J23" s="5">
        <v>1982.7599999999998</v>
      </c>
      <c r="K23" s="5">
        <v>30045.66</v>
      </c>
      <c r="L23" s="5">
        <v>2468.85</v>
      </c>
      <c r="M23" s="5">
        <v>2185.1999999999998</v>
      </c>
      <c r="N23" s="5">
        <v>9675.81</v>
      </c>
      <c r="O23" s="5">
        <v>12126.329999999998</v>
      </c>
      <c r="P23" s="5">
        <v>3808.38</v>
      </c>
      <c r="Q23" s="5">
        <f t="shared" si="0"/>
        <v>70062.239999999991</v>
      </c>
    </row>
    <row r="24" spans="1:17" x14ac:dyDescent="0.35">
      <c r="A24" s="3">
        <v>42560</v>
      </c>
      <c r="B24" s="5"/>
      <c r="C24" s="5"/>
      <c r="D24" s="5"/>
      <c r="E24" s="5"/>
      <c r="F24" s="5"/>
      <c r="G24" s="5">
        <v>286.49</v>
      </c>
      <c r="H24" s="5">
        <v>4344.4400000000005</v>
      </c>
      <c r="I24" s="5">
        <v>974</v>
      </c>
      <c r="J24" s="5">
        <v>1866.19</v>
      </c>
      <c r="K24" s="5">
        <v>49642.03</v>
      </c>
      <c r="L24" s="5">
        <v>2537.27</v>
      </c>
      <c r="M24" s="5">
        <v>3636.2599999999998</v>
      </c>
      <c r="N24" s="5"/>
      <c r="O24" s="5">
        <v>7418.48</v>
      </c>
      <c r="P24" s="5"/>
      <c r="Q24" s="5">
        <f t="shared" si="0"/>
        <v>70705.16</v>
      </c>
    </row>
    <row r="25" spans="1:17" x14ac:dyDescent="0.35">
      <c r="A25" s="3">
        <v>42561</v>
      </c>
      <c r="B25" s="5"/>
      <c r="C25" s="5"/>
      <c r="D25" s="5"/>
      <c r="E25" s="5"/>
      <c r="F25" s="5"/>
      <c r="G25" s="5">
        <v>1011.85</v>
      </c>
      <c r="H25" s="5">
        <v>1372.63</v>
      </c>
      <c r="I25" s="5">
        <v>1167.47</v>
      </c>
      <c r="J25" s="5">
        <v>11500.029999999999</v>
      </c>
      <c r="K25" s="5">
        <v>2476.21</v>
      </c>
      <c r="L25" s="5">
        <v>9558.82</v>
      </c>
      <c r="M25" s="5">
        <v>2183.73</v>
      </c>
      <c r="N25" s="5">
        <v>2471.21</v>
      </c>
      <c r="O25" s="5">
        <v>17564.75</v>
      </c>
      <c r="P25" s="5"/>
      <c r="Q25" s="5">
        <f t="shared" si="0"/>
        <v>49306.7</v>
      </c>
    </row>
    <row r="26" spans="1:17" x14ac:dyDescent="0.35">
      <c r="A26" s="3">
        <v>42562</v>
      </c>
      <c r="B26" s="5"/>
      <c r="C26" s="5"/>
      <c r="D26" s="5"/>
      <c r="E26" s="5">
        <v>628.86</v>
      </c>
      <c r="F26" s="5"/>
      <c r="G26" s="5">
        <v>4492.0200000000004</v>
      </c>
      <c r="H26" s="5">
        <v>1354.74</v>
      </c>
      <c r="I26" s="5">
        <v>3571.52</v>
      </c>
      <c r="J26" s="5">
        <v>8893.989999999998</v>
      </c>
      <c r="K26" s="5">
        <v>4516.6000000000004</v>
      </c>
      <c r="L26" s="5">
        <v>2791.1</v>
      </c>
      <c r="M26" s="5">
        <v>7995.9000000000005</v>
      </c>
      <c r="N26" s="5">
        <v>11955.099999999999</v>
      </c>
      <c r="O26" s="5">
        <v>2482.35</v>
      </c>
      <c r="P26" s="5">
        <v>483.82</v>
      </c>
      <c r="Q26" s="5">
        <f t="shared" si="0"/>
        <v>49165.999999999993</v>
      </c>
    </row>
    <row r="27" spans="1:17" x14ac:dyDescent="0.35">
      <c r="A27" s="3">
        <v>42563</v>
      </c>
      <c r="B27" s="5"/>
      <c r="C27" s="5"/>
      <c r="D27" s="5"/>
      <c r="E27" s="5"/>
      <c r="F27" s="5"/>
      <c r="G27" s="5">
        <v>26286.43</v>
      </c>
      <c r="H27" s="5">
        <v>1278.6399999999999</v>
      </c>
      <c r="I27" s="5">
        <v>1505.95</v>
      </c>
      <c r="J27" s="5">
        <v>1480.26</v>
      </c>
      <c r="K27" s="5">
        <v>6792.35</v>
      </c>
      <c r="L27" s="5">
        <v>1928.12</v>
      </c>
      <c r="M27" s="5">
        <v>5275.8499999999995</v>
      </c>
      <c r="N27" s="5">
        <v>1745.92</v>
      </c>
      <c r="O27" s="5">
        <v>43.68</v>
      </c>
      <c r="P27" s="5"/>
      <c r="Q27" s="5">
        <f t="shared" si="0"/>
        <v>46337.2</v>
      </c>
    </row>
    <row r="28" spans="1:17" x14ac:dyDescent="0.35">
      <c r="A28" s="3">
        <v>42648</v>
      </c>
      <c r="B28" s="5"/>
      <c r="C28" s="5"/>
      <c r="D28" s="5"/>
      <c r="E28" s="5"/>
      <c r="F28" s="5"/>
      <c r="G28" s="5">
        <v>2067.56</v>
      </c>
      <c r="H28" s="5">
        <v>2109.44</v>
      </c>
      <c r="I28" s="5">
        <v>129.06</v>
      </c>
      <c r="J28" s="5">
        <v>2972.15</v>
      </c>
      <c r="K28" s="5">
        <v>6633.12</v>
      </c>
      <c r="L28" s="5">
        <v>11525.93</v>
      </c>
      <c r="M28" s="5">
        <v>2529.8200000000002</v>
      </c>
      <c r="N28" s="5">
        <v>197.57</v>
      </c>
      <c r="O28" s="5">
        <v>7047.4000000000005</v>
      </c>
      <c r="P28" s="5">
        <v>1114.5999999999999</v>
      </c>
      <c r="Q28" s="5">
        <f t="shared" si="0"/>
        <v>36326.65</v>
      </c>
    </row>
    <row r="29" spans="1:17" x14ac:dyDescent="0.35">
      <c r="A29" s="3">
        <v>42649</v>
      </c>
      <c r="B29" s="5"/>
      <c r="C29" s="5"/>
      <c r="D29" s="5"/>
      <c r="E29" s="5"/>
      <c r="F29" s="5"/>
      <c r="G29" s="5">
        <v>2646.16</v>
      </c>
      <c r="H29" s="5">
        <v>3281.9</v>
      </c>
      <c r="I29" s="5">
        <v>670.55</v>
      </c>
      <c r="J29" s="5">
        <v>1191.94</v>
      </c>
      <c r="K29" s="5">
        <v>710.12</v>
      </c>
      <c r="L29" s="5">
        <v>3499.0099999999998</v>
      </c>
      <c r="M29" s="5"/>
      <c r="N29" s="5">
        <v>4195.37</v>
      </c>
      <c r="O29" s="5">
        <v>560.70000000000005</v>
      </c>
      <c r="P29" s="5">
        <v>2256.9399999999996</v>
      </c>
      <c r="Q29" s="5">
        <f t="shared" si="0"/>
        <v>19012.689999999999</v>
      </c>
    </row>
    <row r="30" spans="1:17" x14ac:dyDescent="0.35">
      <c r="A30" s="3">
        <v>42650</v>
      </c>
      <c r="B30" s="5"/>
      <c r="C30" s="5"/>
      <c r="D30" s="5"/>
      <c r="E30" s="5"/>
      <c r="F30" s="5"/>
      <c r="G30" s="5">
        <v>87.7</v>
      </c>
      <c r="H30" s="5">
        <v>2182.6999999999998</v>
      </c>
      <c r="I30" s="5">
        <v>2002.52</v>
      </c>
      <c r="J30" s="5">
        <v>8490.0299999999988</v>
      </c>
      <c r="K30" s="5">
        <v>2102.46</v>
      </c>
      <c r="L30" s="5">
        <v>13985.110000000002</v>
      </c>
      <c r="M30" s="5">
        <v>7683.59</v>
      </c>
      <c r="N30" s="5">
        <v>11562.56</v>
      </c>
      <c r="O30" s="5">
        <v>1691.8600000000001</v>
      </c>
      <c r="P30" s="5"/>
      <c r="Q30" s="5">
        <f t="shared" si="0"/>
        <v>49788.53</v>
      </c>
    </row>
    <row r="31" spans="1:17" x14ac:dyDescent="0.35">
      <c r="A31" s="3">
        <v>42651</v>
      </c>
      <c r="B31" s="5"/>
      <c r="C31" s="5"/>
      <c r="D31" s="5"/>
      <c r="E31" s="5"/>
      <c r="F31" s="5"/>
      <c r="G31" s="5"/>
      <c r="H31" s="5">
        <v>1829.08</v>
      </c>
      <c r="I31" s="5">
        <v>2546.1600000000003</v>
      </c>
      <c r="J31" s="5">
        <v>4440.3600000000006</v>
      </c>
      <c r="K31" s="5">
        <v>923.53</v>
      </c>
      <c r="L31" s="5">
        <v>961.3</v>
      </c>
      <c r="M31" s="5">
        <v>8151.06</v>
      </c>
      <c r="N31" s="5">
        <v>7682.74</v>
      </c>
      <c r="O31" s="5">
        <v>5499.74</v>
      </c>
      <c r="P31" s="5">
        <v>3017.9399999999996</v>
      </c>
      <c r="Q31" s="5">
        <f t="shared" si="0"/>
        <v>35051.910000000003</v>
      </c>
    </row>
    <row r="32" spans="1:17" x14ac:dyDescent="0.35">
      <c r="A32" s="3">
        <v>42652</v>
      </c>
      <c r="B32" s="5"/>
      <c r="C32" s="5"/>
      <c r="D32" s="5"/>
      <c r="E32" s="5"/>
      <c r="F32" s="5"/>
      <c r="G32" s="5">
        <v>1304</v>
      </c>
      <c r="H32" s="5">
        <v>592.9</v>
      </c>
      <c r="I32" s="5">
        <v>3676.3499999999995</v>
      </c>
      <c r="J32" s="5">
        <v>1207.6599999999999</v>
      </c>
      <c r="K32" s="5">
        <v>4478.01</v>
      </c>
      <c r="L32" s="5">
        <v>5416.54</v>
      </c>
      <c r="M32" s="5">
        <v>7244.35</v>
      </c>
      <c r="N32" s="5">
        <v>8684.1099999999988</v>
      </c>
      <c r="O32" s="5">
        <v>19020.870000000003</v>
      </c>
      <c r="P32" s="5">
        <v>2136.7599999999998</v>
      </c>
      <c r="Q32" s="5">
        <f t="shared" si="0"/>
        <v>53761.55</v>
      </c>
    </row>
    <row r="33" spans="1:17" x14ac:dyDescent="0.35">
      <c r="A33" s="3">
        <v>42653</v>
      </c>
      <c r="B33" s="5">
        <v>2870</v>
      </c>
      <c r="C33" s="5"/>
      <c r="D33" s="5"/>
      <c r="E33" s="5"/>
      <c r="F33" s="5"/>
      <c r="G33" s="5">
        <v>1684.36</v>
      </c>
      <c r="H33" s="5">
        <v>1416.1599999999999</v>
      </c>
      <c r="I33" s="5">
        <v>933.81999999999994</v>
      </c>
      <c r="J33" s="5">
        <v>2100.4900000000002</v>
      </c>
      <c r="K33" s="5">
        <v>3106.0099999999998</v>
      </c>
      <c r="L33" s="5">
        <v>1693.01</v>
      </c>
      <c r="M33" s="5">
        <v>2449.0100000000002</v>
      </c>
      <c r="N33" s="5">
        <v>12155.869999999999</v>
      </c>
      <c r="O33" s="5">
        <v>3053.64</v>
      </c>
      <c r="P33" s="5">
        <v>2151.39</v>
      </c>
      <c r="Q33" s="5">
        <f t="shared" si="0"/>
        <v>33613.760000000002</v>
      </c>
    </row>
    <row r="34" spans="1:17" x14ac:dyDescent="0.35">
      <c r="A34" s="3">
        <v>42654</v>
      </c>
      <c r="B34" s="5"/>
      <c r="C34" s="5"/>
      <c r="D34" s="5"/>
      <c r="E34" s="5"/>
      <c r="F34" s="5"/>
      <c r="G34" s="5">
        <v>5645.8600000000006</v>
      </c>
      <c r="H34" s="5">
        <v>1025.22</v>
      </c>
      <c r="I34" s="5">
        <v>8299.2199999999975</v>
      </c>
      <c r="J34" s="5">
        <v>3461</v>
      </c>
      <c r="K34" s="5">
        <v>3391.5000000000005</v>
      </c>
      <c r="L34" s="5">
        <v>2450.3200000000002</v>
      </c>
      <c r="M34" s="5">
        <v>1271.54</v>
      </c>
      <c r="N34" s="5">
        <v>13929.16</v>
      </c>
      <c r="O34" s="5">
        <v>5223.4500000000007</v>
      </c>
      <c r="P34" s="5">
        <v>3631.17</v>
      </c>
      <c r="Q34" s="5">
        <f t="shared" si="0"/>
        <v>48328.44</v>
      </c>
    </row>
    <row r="35" spans="1:17" x14ac:dyDescent="0.35">
      <c r="A35" s="3">
        <v>42655</v>
      </c>
      <c r="B35" s="5"/>
      <c r="C35" s="5"/>
      <c r="D35" s="5"/>
      <c r="E35" s="5">
        <v>195</v>
      </c>
      <c r="F35" s="5">
        <v>124.17999999999999</v>
      </c>
      <c r="G35" s="5">
        <v>2341.0500000000002</v>
      </c>
      <c r="H35" s="5">
        <v>4894.9799999999996</v>
      </c>
      <c r="I35" s="5">
        <v>1929.41</v>
      </c>
      <c r="J35" s="5">
        <v>5529.0300000000007</v>
      </c>
      <c r="K35" s="5">
        <v>2537</v>
      </c>
      <c r="L35" s="5">
        <v>4899.03</v>
      </c>
      <c r="M35" s="5">
        <v>4378.91</v>
      </c>
      <c r="N35" s="5">
        <v>7951.6100000000006</v>
      </c>
      <c r="O35" s="5">
        <v>3001.38</v>
      </c>
      <c r="P35" s="5">
        <v>138.6</v>
      </c>
      <c r="Q35" s="5">
        <f t="shared" si="0"/>
        <v>37920.179999999993</v>
      </c>
    </row>
    <row r="36" spans="1:17" x14ac:dyDescent="0.35">
      <c r="A36" s="3">
        <v>42657</v>
      </c>
      <c r="B36" s="5"/>
      <c r="C36" s="5"/>
      <c r="D36" s="5"/>
      <c r="E36" s="5"/>
      <c r="F36" s="5"/>
      <c r="G36" s="5">
        <v>2247.62</v>
      </c>
      <c r="H36" s="5">
        <v>262.08</v>
      </c>
      <c r="I36" s="5">
        <v>2028.17</v>
      </c>
      <c r="J36" s="5">
        <v>5012.8200000000006</v>
      </c>
      <c r="K36" s="5">
        <v>2929.89</v>
      </c>
      <c r="L36" s="5">
        <v>2975.9900000000002</v>
      </c>
      <c r="M36" s="5">
        <v>7267.48</v>
      </c>
      <c r="N36" s="5">
        <v>3087.91</v>
      </c>
      <c r="O36" s="5">
        <v>6607.3099999999995</v>
      </c>
      <c r="P36" s="5">
        <v>3031.14</v>
      </c>
      <c r="Q36" s="5">
        <f t="shared" si="0"/>
        <v>35450.409999999996</v>
      </c>
    </row>
    <row r="37" spans="1:17" x14ac:dyDescent="0.35">
      <c r="A37" s="3">
        <v>42658</v>
      </c>
      <c r="B37" s="5"/>
      <c r="C37" s="5"/>
      <c r="D37" s="5"/>
      <c r="E37" s="5"/>
      <c r="F37" s="5"/>
      <c r="G37" s="5">
        <v>492.04</v>
      </c>
      <c r="H37" s="5">
        <v>1253.67</v>
      </c>
      <c r="I37" s="5"/>
      <c r="J37" s="5">
        <v>1645.28</v>
      </c>
      <c r="K37" s="5">
        <v>2227.35</v>
      </c>
      <c r="L37" s="5">
        <v>5623.1</v>
      </c>
      <c r="M37" s="5">
        <v>6131.78</v>
      </c>
      <c r="N37" s="5">
        <v>6724.5199999999995</v>
      </c>
      <c r="O37" s="5">
        <v>3021.7999999999997</v>
      </c>
      <c r="P37" s="5">
        <v>1838.76</v>
      </c>
      <c r="Q37" s="5">
        <f t="shared" si="0"/>
        <v>28958.3</v>
      </c>
    </row>
    <row r="38" spans="1:17" x14ac:dyDescent="0.35">
      <c r="A38" s="3">
        <v>42662</v>
      </c>
      <c r="B38" s="5"/>
      <c r="C38" s="5"/>
      <c r="D38" s="5"/>
      <c r="E38" s="5"/>
      <c r="F38" s="5"/>
      <c r="G38" s="5">
        <v>64257.87</v>
      </c>
      <c r="H38" s="5">
        <v>1597.46</v>
      </c>
      <c r="I38" s="5">
        <v>1856.16</v>
      </c>
      <c r="J38" s="5">
        <v>1767.1</v>
      </c>
      <c r="K38" s="5">
        <v>55315.199999999997</v>
      </c>
      <c r="L38" s="5">
        <v>8403.67</v>
      </c>
      <c r="M38" s="5">
        <v>7193.3899999999994</v>
      </c>
      <c r="N38" s="5">
        <v>1759.07</v>
      </c>
      <c r="O38" s="5">
        <v>6306.75</v>
      </c>
      <c r="P38" s="5">
        <v>4752.33</v>
      </c>
      <c r="Q38" s="5">
        <f t="shared" si="0"/>
        <v>153209.00000000003</v>
      </c>
    </row>
    <row r="39" spans="1:17" x14ac:dyDescent="0.35">
      <c r="A39" s="3">
        <v>42663</v>
      </c>
      <c r="B39" s="5"/>
      <c r="C39" s="5"/>
      <c r="D39" s="5"/>
      <c r="E39" s="5"/>
      <c r="F39" s="5"/>
      <c r="G39" s="5">
        <v>953.8</v>
      </c>
      <c r="H39" s="5">
        <v>5910.21</v>
      </c>
      <c r="I39" s="5">
        <v>4135.3</v>
      </c>
      <c r="J39" s="5">
        <v>2409.6000000000004</v>
      </c>
      <c r="K39" s="5">
        <v>6477.2099999999991</v>
      </c>
      <c r="L39" s="5">
        <v>9066.2100000000009</v>
      </c>
      <c r="M39" s="5">
        <v>6293.0300000000007</v>
      </c>
      <c r="N39" s="5">
        <v>3193.7999999999997</v>
      </c>
      <c r="O39" s="5">
        <v>3124.34</v>
      </c>
      <c r="P39" s="5">
        <v>5278.13</v>
      </c>
      <c r="Q39" s="5">
        <f t="shared" si="0"/>
        <v>46841.63</v>
      </c>
    </row>
    <row r="40" spans="1:17" x14ac:dyDescent="0.35">
      <c r="A40" s="3">
        <v>42664</v>
      </c>
      <c r="B40" s="5"/>
      <c r="C40" s="5"/>
      <c r="D40" s="5"/>
      <c r="E40" s="5"/>
      <c r="F40" s="5"/>
      <c r="G40" s="5">
        <v>986.79</v>
      </c>
      <c r="H40" s="5">
        <v>1561.8</v>
      </c>
      <c r="I40" s="5">
        <v>3170.09</v>
      </c>
      <c r="J40" s="5">
        <v>886.94000000000017</v>
      </c>
      <c r="K40" s="5">
        <v>1106.8900000000001</v>
      </c>
      <c r="L40" s="5">
        <v>811.33</v>
      </c>
      <c r="M40" s="5">
        <v>7035.24</v>
      </c>
      <c r="N40" s="5">
        <v>2621.55</v>
      </c>
      <c r="O40" s="5">
        <v>10453.619999999999</v>
      </c>
      <c r="P40" s="5">
        <v>4846.2199999999993</v>
      </c>
      <c r="Q40" s="5">
        <f t="shared" si="0"/>
        <v>33480.47</v>
      </c>
    </row>
    <row r="41" spans="1:17" x14ac:dyDescent="0.35">
      <c r="A41" s="3">
        <v>42665</v>
      </c>
      <c r="B41" s="5"/>
      <c r="C41" s="5"/>
      <c r="D41" s="5"/>
      <c r="E41" s="5"/>
      <c r="F41" s="5"/>
      <c r="G41" s="5">
        <v>5282.01</v>
      </c>
      <c r="H41" s="5">
        <v>1035.02</v>
      </c>
      <c r="I41" s="5">
        <v>241.07</v>
      </c>
      <c r="J41" s="5">
        <v>1771.2</v>
      </c>
      <c r="K41" s="5">
        <v>6205.82</v>
      </c>
      <c r="L41" s="5">
        <v>1341.3999999999999</v>
      </c>
      <c r="M41" s="5">
        <v>4682.43</v>
      </c>
      <c r="N41" s="5">
        <v>12687.62</v>
      </c>
      <c r="O41" s="5">
        <v>10329.93</v>
      </c>
      <c r="P41" s="5"/>
      <c r="Q41" s="5">
        <f t="shared" si="0"/>
        <v>43576.5</v>
      </c>
    </row>
    <row r="42" spans="1:17" x14ac:dyDescent="0.35">
      <c r="A42" s="3">
        <v>42666</v>
      </c>
      <c r="B42" s="5"/>
      <c r="C42" s="5"/>
      <c r="D42" s="5"/>
      <c r="E42" s="5"/>
      <c r="F42" s="5"/>
      <c r="G42" s="5"/>
      <c r="H42" s="5">
        <v>77.34</v>
      </c>
      <c r="I42" s="5">
        <v>212.94</v>
      </c>
      <c r="J42" s="5">
        <v>1811.23</v>
      </c>
      <c r="K42" s="5">
        <v>2576.9899999999998</v>
      </c>
      <c r="L42" s="5">
        <v>4379.3900000000003</v>
      </c>
      <c r="M42" s="5">
        <v>55.54</v>
      </c>
      <c r="N42" s="5">
        <v>4148.5200000000004</v>
      </c>
      <c r="O42" s="5">
        <v>4621.67</v>
      </c>
      <c r="P42" s="5">
        <v>2286.71</v>
      </c>
      <c r="Q42" s="5">
        <f t="shared" si="0"/>
        <v>20170.330000000002</v>
      </c>
    </row>
    <row r="43" spans="1:17" x14ac:dyDescent="0.35">
      <c r="A43" s="3">
        <v>42667</v>
      </c>
      <c r="B43" s="5"/>
      <c r="C43" s="5"/>
      <c r="D43" s="5"/>
      <c r="E43" s="5"/>
      <c r="F43" s="5"/>
      <c r="G43" s="5">
        <v>36</v>
      </c>
      <c r="H43" s="5">
        <v>621.37</v>
      </c>
      <c r="I43" s="5">
        <v>1204.4000000000001</v>
      </c>
      <c r="J43" s="5">
        <v>6354.41</v>
      </c>
      <c r="K43" s="5">
        <v>2612</v>
      </c>
      <c r="L43" s="5">
        <v>3222.4000000000005</v>
      </c>
      <c r="M43" s="5">
        <v>7469.59</v>
      </c>
      <c r="N43" s="5">
        <v>4081.2999999999997</v>
      </c>
      <c r="O43" s="5">
        <v>7683.98</v>
      </c>
      <c r="P43" s="5">
        <v>1802.51</v>
      </c>
      <c r="Q43" s="5">
        <f t="shared" si="0"/>
        <v>35087.96</v>
      </c>
    </row>
    <row r="44" spans="1:17" x14ac:dyDescent="0.35">
      <c r="A44" s="3">
        <v>42668</v>
      </c>
      <c r="B44" s="5"/>
      <c r="C44" s="5"/>
      <c r="D44" s="5"/>
      <c r="E44" s="5"/>
      <c r="F44" s="5"/>
      <c r="G44" s="5">
        <v>4863.16</v>
      </c>
      <c r="H44" s="5">
        <v>1149.44</v>
      </c>
      <c r="I44" s="5">
        <v>3768.71</v>
      </c>
      <c r="J44" s="5">
        <v>2289.06</v>
      </c>
      <c r="K44" s="5">
        <v>418.06</v>
      </c>
      <c r="L44" s="5">
        <v>584.16</v>
      </c>
      <c r="M44" s="5">
        <v>13490.91</v>
      </c>
      <c r="N44" s="5">
        <v>7511.0300000000007</v>
      </c>
      <c r="O44" s="5">
        <v>709.41</v>
      </c>
      <c r="P44" s="5">
        <v>24587.760000000002</v>
      </c>
      <c r="Q44" s="5">
        <f t="shared" si="0"/>
        <v>59371.700000000004</v>
      </c>
    </row>
    <row r="45" spans="1:17" x14ac:dyDescent="0.35">
      <c r="A45" s="3">
        <v>42670</v>
      </c>
      <c r="B45" s="5"/>
      <c r="C45" s="5"/>
      <c r="D45" s="5"/>
      <c r="E45" s="5"/>
      <c r="F45" s="5"/>
      <c r="G45" s="5">
        <v>6986.7800000000007</v>
      </c>
      <c r="H45" s="5">
        <v>1302.8399999999999</v>
      </c>
      <c r="I45" s="5">
        <v>610.65</v>
      </c>
      <c r="J45" s="5">
        <v>2696.4700000000003</v>
      </c>
      <c r="K45" s="5">
        <v>21628.47</v>
      </c>
      <c r="L45" s="5">
        <v>2148.6000000000004</v>
      </c>
      <c r="M45" s="5">
        <v>2626.9300000000003</v>
      </c>
      <c r="N45" s="5">
        <v>2618.35</v>
      </c>
      <c r="O45" s="5">
        <v>40449.200000000004</v>
      </c>
      <c r="P45" s="5">
        <v>7776.24</v>
      </c>
      <c r="Q45" s="5">
        <f t="shared" si="0"/>
        <v>88844.530000000013</v>
      </c>
    </row>
    <row r="46" spans="1:17" x14ac:dyDescent="0.35">
      <c r="A46" s="3">
        <v>42761</v>
      </c>
      <c r="B46" s="5"/>
      <c r="C46" s="5"/>
      <c r="D46" s="5">
        <v>0</v>
      </c>
      <c r="E46" s="5">
        <v>516.34</v>
      </c>
      <c r="F46" s="5">
        <v>1061.19</v>
      </c>
      <c r="G46" s="5">
        <v>202.54</v>
      </c>
      <c r="H46" s="5">
        <v>8666.9699999999993</v>
      </c>
      <c r="I46" s="5">
        <v>809.05</v>
      </c>
      <c r="J46" s="5">
        <v>2463.6</v>
      </c>
      <c r="K46" s="5">
        <v>6776.47</v>
      </c>
      <c r="L46" s="5">
        <v>6465.130000000001</v>
      </c>
      <c r="M46" s="5">
        <v>5421.0199999999995</v>
      </c>
      <c r="N46" s="5">
        <v>11855.989999999998</v>
      </c>
      <c r="O46" s="5">
        <v>7269.3200000000006</v>
      </c>
      <c r="P46" s="5">
        <v>2608.52</v>
      </c>
      <c r="Q46" s="5">
        <f t="shared" si="0"/>
        <v>54116.14</v>
      </c>
    </row>
    <row r="47" spans="1:17" x14ac:dyDescent="0.35">
      <c r="A47" s="3">
        <v>42762</v>
      </c>
      <c r="B47" s="5"/>
      <c r="C47" s="5"/>
      <c r="D47" s="5"/>
      <c r="E47" s="5"/>
      <c r="F47" s="5"/>
      <c r="G47" s="5"/>
      <c r="H47" s="5">
        <v>1748.04</v>
      </c>
      <c r="I47" s="5"/>
      <c r="J47" s="5">
        <v>2413.25</v>
      </c>
      <c r="K47" s="5">
        <v>3132.06</v>
      </c>
      <c r="L47" s="5">
        <v>37.799999999999997</v>
      </c>
      <c r="M47" s="5">
        <v>37698.630000000005</v>
      </c>
      <c r="N47" s="5">
        <v>63</v>
      </c>
      <c r="O47" s="5">
        <v>1883.86</v>
      </c>
      <c r="P47" s="5">
        <v>287.28000000000003</v>
      </c>
      <c r="Q47" s="5">
        <f t="shared" si="0"/>
        <v>47263.920000000006</v>
      </c>
    </row>
    <row r="48" spans="1:17" x14ac:dyDescent="0.35">
      <c r="A48" s="3">
        <v>42764</v>
      </c>
      <c r="B48" s="5"/>
      <c r="C48" s="5"/>
      <c r="D48" s="5"/>
      <c r="E48" s="5"/>
      <c r="F48" s="5"/>
      <c r="G48" s="5">
        <v>6926</v>
      </c>
      <c r="H48" s="5">
        <v>1150.98</v>
      </c>
      <c r="I48" s="5">
        <v>1178.8800000000001</v>
      </c>
      <c r="J48" s="5">
        <v>1804.01</v>
      </c>
      <c r="K48" s="5">
        <v>1850.63</v>
      </c>
      <c r="L48" s="5">
        <v>12991.01</v>
      </c>
      <c r="M48" s="5">
        <v>8590.3499999999985</v>
      </c>
      <c r="N48" s="5">
        <v>1774.21</v>
      </c>
      <c r="O48" s="5">
        <v>4778.8100000000004</v>
      </c>
      <c r="P48" s="5">
        <v>4924.9799999999996</v>
      </c>
      <c r="Q48" s="5">
        <f t="shared" si="0"/>
        <v>45969.86</v>
      </c>
    </row>
    <row r="49" spans="1:17" x14ac:dyDescent="0.35">
      <c r="A49" s="3">
        <v>42765</v>
      </c>
      <c r="B49" s="5"/>
      <c r="C49" s="5"/>
      <c r="D49" s="5"/>
      <c r="E49" s="5"/>
      <c r="F49" s="5"/>
      <c r="G49" s="5">
        <v>522.71</v>
      </c>
      <c r="H49" s="5">
        <v>2351</v>
      </c>
      <c r="I49" s="5">
        <v>4693.29</v>
      </c>
      <c r="J49" s="5">
        <v>1309.29</v>
      </c>
      <c r="K49" s="5">
        <v>1214.29</v>
      </c>
      <c r="L49" s="5">
        <v>1757.23</v>
      </c>
      <c r="M49" s="5">
        <v>5965.24</v>
      </c>
      <c r="N49" s="5">
        <v>3516.54</v>
      </c>
      <c r="O49" s="5">
        <v>3478.0400000000004</v>
      </c>
      <c r="P49" s="5">
        <v>2017.18</v>
      </c>
      <c r="Q49" s="5">
        <f t="shared" si="0"/>
        <v>26824.810000000005</v>
      </c>
    </row>
    <row r="50" spans="1:17" x14ac:dyDescent="0.35">
      <c r="A50" s="3">
        <v>42766</v>
      </c>
      <c r="B50" s="5"/>
      <c r="C50" s="5"/>
      <c r="D50" s="5"/>
      <c r="E50" s="5"/>
      <c r="F50" s="5"/>
      <c r="G50" s="5">
        <v>2473.63</v>
      </c>
      <c r="H50" s="5">
        <v>1080.79</v>
      </c>
      <c r="I50" s="5">
        <v>6045.01</v>
      </c>
      <c r="J50" s="5">
        <v>2401.2000000000003</v>
      </c>
      <c r="K50" s="5">
        <v>2533.8999999999996</v>
      </c>
      <c r="L50" s="5">
        <v>6534.34</v>
      </c>
      <c r="M50" s="5">
        <v>11695.67</v>
      </c>
      <c r="N50" s="5">
        <v>1297.02</v>
      </c>
      <c r="O50" s="5">
        <v>5163.0999999999995</v>
      </c>
      <c r="P50" s="5"/>
      <c r="Q50" s="5">
        <f t="shared" si="0"/>
        <v>39224.659999999996</v>
      </c>
    </row>
    <row r="51" spans="1:17" x14ac:dyDescent="0.35">
      <c r="A51" s="3">
        <v>42767</v>
      </c>
      <c r="B51" s="5"/>
      <c r="C51" s="5"/>
      <c r="D51" s="5"/>
      <c r="E51" s="5"/>
      <c r="F51" s="5"/>
      <c r="G51" s="5">
        <v>1012.23</v>
      </c>
      <c r="H51" s="5">
        <v>3293.34</v>
      </c>
      <c r="I51" s="5">
        <v>597.24</v>
      </c>
      <c r="J51" s="5">
        <v>1789.83</v>
      </c>
      <c r="K51" s="5">
        <v>3570.1800000000003</v>
      </c>
      <c r="L51" s="5">
        <v>5959.65</v>
      </c>
      <c r="M51" s="5">
        <v>7862.92</v>
      </c>
      <c r="N51" s="5">
        <v>8678.3700000000008</v>
      </c>
      <c r="O51" s="5">
        <v>25741.35</v>
      </c>
      <c r="P51" s="5">
        <v>457.18</v>
      </c>
      <c r="Q51" s="5">
        <f t="shared" si="0"/>
        <v>58962.29</v>
      </c>
    </row>
    <row r="52" spans="1:17" x14ac:dyDescent="0.35">
      <c r="A52" s="3">
        <v>42768</v>
      </c>
      <c r="B52" s="5"/>
      <c r="C52" s="5"/>
      <c r="D52" s="5"/>
      <c r="E52" s="5"/>
      <c r="F52" s="5"/>
      <c r="G52" s="5">
        <v>1197.18</v>
      </c>
      <c r="H52" s="5">
        <v>1535.04</v>
      </c>
      <c r="I52" s="5">
        <v>1155.1500000000001</v>
      </c>
      <c r="J52" s="5">
        <v>2160.94</v>
      </c>
      <c r="K52" s="5">
        <v>2011.44</v>
      </c>
      <c r="L52" s="5">
        <v>2037.25</v>
      </c>
      <c r="M52" s="5">
        <v>3012.67</v>
      </c>
      <c r="N52" s="5">
        <v>1024.6300000000001</v>
      </c>
      <c r="O52" s="5">
        <v>4070.4800000000005</v>
      </c>
      <c r="P52" s="5">
        <v>49.78</v>
      </c>
      <c r="Q52" s="5">
        <f t="shared" si="0"/>
        <v>18254.559999999998</v>
      </c>
    </row>
    <row r="53" spans="1:17" x14ac:dyDescent="0.35">
      <c r="A53" s="3">
        <v>42769</v>
      </c>
      <c r="B53" s="5"/>
      <c r="C53" s="5"/>
      <c r="D53" s="5"/>
      <c r="E53" s="5"/>
      <c r="F53" s="5"/>
      <c r="G53" s="5">
        <v>874.01</v>
      </c>
      <c r="H53" s="5">
        <v>14757.46</v>
      </c>
      <c r="I53" s="5">
        <v>2900.9199999999996</v>
      </c>
      <c r="J53" s="5">
        <v>35.880000000000003</v>
      </c>
      <c r="K53" s="5">
        <v>2037.0700000000002</v>
      </c>
      <c r="L53" s="5">
        <v>1108.0400000000002</v>
      </c>
      <c r="M53" s="5">
        <v>6028.6900000000005</v>
      </c>
      <c r="N53" s="5">
        <v>1692.32</v>
      </c>
      <c r="O53" s="5">
        <v>5336.5700000000006</v>
      </c>
      <c r="P53" s="5">
        <v>8294.0500000000011</v>
      </c>
      <c r="Q53" s="5">
        <f t="shared" si="0"/>
        <v>43065.01</v>
      </c>
    </row>
    <row r="54" spans="1:17" x14ac:dyDescent="0.35">
      <c r="A54" s="3">
        <v>42770</v>
      </c>
      <c r="B54" s="5"/>
      <c r="C54" s="5"/>
      <c r="D54" s="5"/>
      <c r="E54" s="5"/>
      <c r="F54" s="5"/>
      <c r="G54" s="5">
        <v>36</v>
      </c>
      <c r="H54" s="5">
        <v>563.22</v>
      </c>
      <c r="I54" s="5">
        <v>2496.91</v>
      </c>
      <c r="J54" s="5">
        <v>2647.18</v>
      </c>
      <c r="K54" s="5">
        <v>2170.2400000000002</v>
      </c>
      <c r="L54" s="5">
        <v>35.880000000000003</v>
      </c>
      <c r="M54" s="5">
        <v>1940.47</v>
      </c>
      <c r="N54" s="5">
        <v>2725.6099999999997</v>
      </c>
      <c r="O54" s="5">
        <v>1660.82</v>
      </c>
      <c r="P54" s="5">
        <v>3774.11</v>
      </c>
      <c r="Q54" s="5">
        <f t="shared" si="0"/>
        <v>18050.439999999999</v>
      </c>
    </row>
    <row r="55" spans="1:17" x14ac:dyDescent="0.35">
      <c r="A55" s="3">
        <v>42771</v>
      </c>
      <c r="B55" s="5"/>
      <c r="C55" s="5"/>
      <c r="D55" s="5"/>
      <c r="E55" s="5"/>
      <c r="F55" s="5"/>
      <c r="G55" s="5">
        <v>524.38</v>
      </c>
      <c r="H55" s="5">
        <v>1439.13</v>
      </c>
      <c r="I55" s="5">
        <v>1201.0899999999999</v>
      </c>
      <c r="J55" s="5">
        <v>1920.77</v>
      </c>
      <c r="K55" s="5">
        <v>780.93999999999994</v>
      </c>
      <c r="L55" s="5">
        <v>25.19</v>
      </c>
      <c r="M55" s="5">
        <v>10304.560000000001</v>
      </c>
      <c r="N55" s="5">
        <v>8245.11</v>
      </c>
      <c r="O55" s="5">
        <v>902.91999999999985</v>
      </c>
      <c r="P55" s="5">
        <v>438.44</v>
      </c>
      <c r="Q55" s="5">
        <f t="shared" si="0"/>
        <v>25782.53</v>
      </c>
    </row>
    <row r="56" spans="1:17" x14ac:dyDescent="0.35">
      <c r="A56" s="3">
        <v>42798</v>
      </c>
      <c r="B56" s="5"/>
      <c r="C56" s="5"/>
      <c r="D56" s="5"/>
      <c r="E56" s="5"/>
      <c r="F56" s="5"/>
      <c r="G56" s="5"/>
      <c r="H56" s="5">
        <v>1223.6400000000001</v>
      </c>
      <c r="I56" s="5">
        <v>3588.66</v>
      </c>
      <c r="J56" s="5">
        <v>5221.3899999999994</v>
      </c>
      <c r="K56" s="5">
        <v>6416.5800000000008</v>
      </c>
      <c r="L56" s="5">
        <v>614.62</v>
      </c>
      <c r="M56" s="5">
        <v>15443.380000000001</v>
      </c>
      <c r="N56" s="5">
        <v>5453.5300000000007</v>
      </c>
      <c r="O56" s="5">
        <v>2675.2799999999997</v>
      </c>
      <c r="P56" s="5">
        <v>3950.33</v>
      </c>
      <c r="Q56" s="5">
        <f t="shared" si="0"/>
        <v>44587.41</v>
      </c>
    </row>
    <row r="57" spans="1:17" x14ac:dyDescent="0.35">
      <c r="A57" s="3">
        <v>42800</v>
      </c>
      <c r="B57" s="5"/>
      <c r="C57" s="5"/>
      <c r="D57" s="5">
        <v>417.26</v>
      </c>
      <c r="E57" s="5"/>
      <c r="F57" s="5">
        <v>50.5</v>
      </c>
      <c r="G57" s="5"/>
      <c r="H57" s="5">
        <v>3931.53</v>
      </c>
      <c r="I57" s="5">
        <v>1445.7800000000002</v>
      </c>
      <c r="J57" s="5">
        <v>1602.93</v>
      </c>
      <c r="K57" s="5">
        <v>6694.71</v>
      </c>
      <c r="L57" s="5">
        <v>1398.32</v>
      </c>
      <c r="M57" s="5">
        <v>5399.84</v>
      </c>
      <c r="N57" s="5">
        <v>13730.91</v>
      </c>
      <c r="O57" s="5">
        <v>1290.58</v>
      </c>
      <c r="P57" s="5">
        <v>2964.7200000000003</v>
      </c>
      <c r="Q57" s="5">
        <f t="shared" si="0"/>
        <v>38927.08</v>
      </c>
    </row>
    <row r="58" spans="1:17" x14ac:dyDescent="0.35">
      <c r="A58" s="3">
        <v>42806</v>
      </c>
      <c r="B58" s="5"/>
      <c r="C58" s="5"/>
      <c r="D58" s="5"/>
      <c r="E58" s="5"/>
      <c r="F58" s="5"/>
      <c r="G58" s="5"/>
      <c r="H58" s="5">
        <v>1050.9100000000001</v>
      </c>
      <c r="I58" s="5">
        <v>1481.25</v>
      </c>
      <c r="J58" s="5">
        <v>518.17999999999995</v>
      </c>
      <c r="K58" s="5">
        <v>1118.8800000000001</v>
      </c>
      <c r="L58" s="5">
        <v>2602.4</v>
      </c>
      <c r="M58" s="5">
        <v>3736.41</v>
      </c>
      <c r="N58" s="5">
        <v>4230.95</v>
      </c>
      <c r="O58" s="5">
        <v>4445.99</v>
      </c>
      <c r="P58" s="5">
        <v>2083.11</v>
      </c>
      <c r="Q58" s="5">
        <f t="shared" si="0"/>
        <v>21268.080000000002</v>
      </c>
    </row>
    <row r="59" spans="1:17" x14ac:dyDescent="0.35">
      <c r="A59" s="3">
        <v>42807</v>
      </c>
      <c r="B59" s="5"/>
      <c r="C59" s="5"/>
      <c r="D59" s="5"/>
      <c r="E59" s="5"/>
      <c r="F59" s="5"/>
      <c r="G59" s="5"/>
      <c r="H59" s="5">
        <v>8003.44</v>
      </c>
      <c r="I59" s="5">
        <v>2433.63</v>
      </c>
      <c r="J59" s="5">
        <v>1651.71</v>
      </c>
      <c r="K59" s="5">
        <v>2602.6200000000003</v>
      </c>
      <c r="L59" s="5">
        <v>2954.69</v>
      </c>
      <c r="M59" s="5">
        <v>2351.56</v>
      </c>
      <c r="N59" s="5">
        <v>1844.8</v>
      </c>
      <c r="O59" s="5">
        <v>5056.34</v>
      </c>
      <c r="P59" s="5"/>
      <c r="Q59" s="5">
        <f t="shared" si="0"/>
        <v>26898.79</v>
      </c>
    </row>
    <row r="60" spans="1:17" x14ac:dyDescent="0.35">
      <c r="A60" s="3">
        <v>42813</v>
      </c>
      <c r="B60" s="5"/>
      <c r="C60" s="5"/>
      <c r="D60" s="5"/>
      <c r="E60" s="5"/>
      <c r="F60" s="5"/>
      <c r="G60" s="5">
        <v>4125.33</v>
      </c>
      <c r="H60" s="5">
        <v>3587.8599999999997</v>
      </c>
      <c r="I60" s="5">
        <v>3813.54</v>
      </c>
      <c r="J60" s="5">
        <v>3482.65</v>
      </c>
      <c r="K60" s="5">
        <v>2301.62</v>
      </c>
      <c r="L60" s="5">
        <v>8252.2099999999991</v>
      </c>
      <c r="M60" s="5">
        <v>9364.02</v>
      </c>
      <c r="N60" s="5">
        <v>4452.4799999999996</v>
      </c>
      <c r="O60" s="5">
        <v>7279.4300000000012</v>
      </c>
      <c r="P60" s="5">
        <v>5962.21</v>
      </c>
      <c r="Q60" s="5">
        <f t="shared" si="0"/>
        <v>52621.349999999991</v>
      </c>
    </row>
    <row r="61" spans="1:17" x14ac:dyDescent="0.35">
      <c r="A61" s="3">
        <v>42814</v>
      </c>
      <c r="B61" s="5"/>
      <c r="C61" s="5"/>
      <c r="D61" s="5"/>
      <c r="E61" s="5"/>
      <c r="F61" s="5">
        <v>812.97</v>
      </c>
      <c r="G61" s="5"/>
      <c r="H61" s="5">
        <v>1718.19</v>
      </c>
      <c r="I61" s="5">
        <v>1638.89</v>
      </c>
      <c r="J61" s="5">
        <v>858.81999999999994</v>
      </c>
      <c r="K61" s="5">
        <v>1571.3700000000001</v>
      </c>
      <c r="L61" s="5">
        <v>423.24</v>
      </c>
      <c r="M61" s="5">
        <v>1740.73</v>
      </c>
      <c r="N61" s="5">
        <v>2314.7799999999997</v>
      </c>
      <c r="O61" s="5">
        <v>2266.5800000000004</v>
      </c>
      <c r="P61" s="5">
        <v>2792.9700000000003</v>
      </c>
      <c r="Q61" s="5">
        <f t="shared" si="0"/>
        <v>16138.539999999997</v>
      </c>
    </row>
    <row r="62" spans="1:17" x14ac:dyDescent="0.35">
      <c r="A62" s="3">
        <v>42564</v>
      </c>
      <c r="B62" s="5"/>
      <c r="C62" s="5"/>
      <c r="D62" s="5"/>
      <c r="E62" s="5"/>
      <c r="F62" s="5"/>
      <c r="G62" s="5">
        <v>5122.22</v>
      </c>
      <c r="H62" s="5">
        <v>1546.26</v>
      </c>
      <c r="I62" s="5">
        <v>2863.99</v>
      </c>
      <c r="J62" s="5">
        <v>8521.880000000001</v>
      </c>
      <c r="K62" s="5">
        <v>3698.81</v>
      </c>
      <c r="L62" s="5">
        <v>8758.3799999999992</v>
      </c>
      <c r="M62" s="5">
        <v>5637.44</v>
      </c>
      <c r="N62" s="5">
        <v>9777.4699999999993</v>
      </c>
      <c r="O62" s="5">
        <v>5737.9400000000005</v>
      </c>
      <c r="P62" s="5">
        <v>6157.38</v>
      </c>
      <c r="Q62" s="5">
        <f t="shared" si="0"/>
        <v>57821.770000000004</v>
      </c>
    </row>
    <row r="63" spans="1:17" x14ac:dyDescent="0.35">
      <c r="A63" s="3">
        <v>42324</v>
      </c>
      <c r="B63" s="5"/>
      <c r="C63" s="5"/>
      <c r="D63" s="5"/>
      <c r="E63" s="5"/>
      <c r="F63" s="5"/>
      <c r="G63" s="5">
        <v>5765.07</v>
      </c>
      <c r="H63" s="5">
        <v>51.97</v>
      </c>
      <c r="I63" s="5"/>
      <c r="J63" s="5">
        <v>4672.79</v>
      </c>
      <c r="K63" s="5">
        <v>35.880000000000003</v>
      </c>
      <c r="L63" s="5">
        <v>6317.1799999999994</v>
      </c>
      <c r="M63" s="5">
        <v>2116.4300000000003</v>
      </c>
      <c r="N63" s="5">
        <v>218.4</v>
      </c>
      <c r="O63" s="5">
        <v>43.68</v>
      </c>
      <c r="P63" s="5">
        <v>405.72</v>
      </c>
      <c r="Q63" s="5">
        <f t="shared" si="0"/>
        <v>19627.120000000003</v>
      </c>
    </row>
    <row r="64" spans="1:17" x14ac:dyDescent="0.35">
      <c r="A64" s="3">
        <v>42325</v>
      </c>
      <c r="B64" s="5"/>
      <c r="C64" s="5"/>
      <c r="D64" s="5"/>
      <c r="E64" s="5"/>
      <c r="F64" s="5"/>
      <c r="G64" s="5">
        <v>10259.08</v>
      </c>
      <c r="H64" s="5">
        <v>79.150000000000006</v>
      </c>
      <c r="I64" s="5">
        <v>1183.5200000000002</v>
      </c>
      <c r="J64" s="5">
        <v>1454.68</v>
      </c>
      <c r="K64" s="5">
        <v>7966.12</v>
      </c>
      <c r="L64" s="5">
        <v>173.12</v>
      </c>
      <c r="M64" s="5">
        <v>7469.25</v>
      </c>
      <c r="N64" s="5">
        <v>16401.8</v>
      </c>
      <c r="O64" s="5">
        <v>4352.6499999999996</v>
      </c>
      <c r="P64" s="5">
        <v>43.68</v>
      </c>
      <c r="Q64" s="5">
        <f t="shared" si="0"/>
        <v>49383.05</v>
      </c>
    </row>
    <row r="65" spans="1:17" x14ac:dyDescent="0.35">
      <c r="A65" s="4" t="s">
        <v>0</v>
      </c>
      <c r="B65" s="6">
        <f>SUM(B3:B64)</f>
        <v>4272.1000000000004</v>
      </c>
      <c r="C65" s="6">
        <f t="shared" ref="C65:Q65" si="1">SUM(C3:C64)</f>
        <v>16.52</v>
      </c>
      <c r="D65" s="6">
        <f t="shared" si="1"/>
        <v>2164.4300000000003</v>
      </c>
      <c r="E65" s="6">
        <f t="shared" si="1"/>
        <v>10900.42</v>
      </c>
      <c r="F65" s="6">
        <f t="shared" si="1"/>
        <v>21047.789999999997</v>
      </c>
      <c r="G65" s="6">
        <f t="shared" si="1"/>
        <v>234864.32</v>
      </c>
      <c r="H65" s="6">
        <f t="shared" si="1"/>
        <v>167042.52000000002</v>
      </c>
      <c r="I65" s="6">
        <f t="shared" si="1"/>
        <v>128746.69</v>
      </c>
      <c r="J65" s="6">
        <f t="shared" si="1"/>
        <v>254249.83000000005</v>
      </c>
      <c r="K65" s="6">
        <f t="shared" si="1"/>
        <v>345515.14000000007</v>
      </c>
      <c r="L65" s="6">
        <f t="shared" si="1"/>
        <v>227374.47</v>
      </c>
      <c r="M65" s="6">
        <f t="shared" si="1"/>
        <v>349589.04999999987</v>
      </c>
      <c r="N65" s="6">
        <f t="shared" si="1"/>
        <v>447769.4599999999</v>
      </c>
      <c r="O65" s="6">
        <f t="shared" si="1"/>
        <v>391160.81</v>
      </c>
      <c r="P65" s="6">
        <f t="shared" si="1"/>
        <v>181133.16999999993</v>
      </c>
      <c r="Q65" s="6">
        <f t="shared" si="1"/>
        <v>2765846.7199999993</v>
      </c>
    </row>
    <row r="70" spans="1:17" s="27" customFormat="1" x14ac:dyDescent="0.35">
      <c r="B70" s="29" t="s">
        <v>49</v>
      </c>
    </row>
    <row r="71" spans="1:17" s="27" customFormat="1" x14ac:dyDescent="0.35">
      <c r="B71" s="28">
        <v>2008</v>
      </c>
      <c r="C71" s="28">
        <v>2009</v>
      </c>
      <c r="D71" s="28">
        <v>2010</v>
      </c>
      <c r="E71" s="28">
        <v>2011</v>
      </c>
      <c r="F71" s="28">
        <v>2012</v>
      </c>
      <c r="G71" s="28">
        <v>2013</v>
      </c>
      <c r="H71" s="28">
        <v>2014</v>
      </c>
      <c r="I71" s="28">
        <v>2015</v>
      </c>
      <c r="J71" s="28">
        <v>2016</v>
      </c>
      <c r="K71" s="28">
        <v>2017</v>
      </c>
      <c r="L71" s="28">
        <v>2018</v>
      </c>
      <c r="M71" s="28">
        <v>2019</v>
      </c>
      <c r="N71" s="28">
        <v>2020</v>
      </c>
      <c r="O71" s="28">
        <v>2021</v>
      </c>
    </row>
    <row r="72" spans="1:17" x14ac:dyDescent="0.35">
      <c r="A72" t="s">
        <v>1</v>
      </c>
      <c r="B72" s="5">
        <f>B65</f>
        <v>4272.1000000000004</v>
      </c>
      <c r="C72" s="5">
        <f t="shared" ref="C72:O72" si="2">C65</f>
        <v>16.52</v>
      </c>
      <c r="D72" s="5">
        <f t="shared" si="2"/>
        <v>2164.4300000000003</v>
      </c>
      <c r="E72" s="5">
        <f t="shared" si="2"/>
        <v>10900.42</v>
      </c>
      <c r="F72" s="5">
        <f t="shared" si="2"/>
        <v>21047.789999999997</v>
      </c>
      <c r="G72" s="5">
        <f t="shared" si="2"/>
        <v>234864.32</v>
      </c>
      <c r="H72" s="5">
        <f t="shared" si="2"/>
        <v>167042.52000000002</v>
      </c>
      <c r="I72" s="5">
        <f t="shared" si="2"/>
        <v>128746.69</v>
      </c>
      <c r="J72" s="5">
        <f t="shared" si="2"/>
        <v>254249.83000000005</v>
      </c>
      <c r="K72" s="5">
        <f t="shared" si="2"/>
        <v>345515.14000000007</v>
      </c>
      <c r="L72" s="5">
        <f t="shared" si="2"/>
        <v>227374.47</v>
      </c>
      <c r="M72" s="5">
        <f t="shared" si="2"/>
        <v>349589.04999999987</v>
      </c>
      <c r="N72" s="5">
        <f t="shared" si="2"/>
        <v>447769.4599999999</v>
      </c>
      <c r="O72" s="5">
        <f t="shared" si="2"/>
        <v>391160.81</v>
      </c>
    </row>
    <row r="73" spans="1:17" x14ac:dyDescent="0.35">
      <c r="A73" t="s">
        <v>2</v>
      </c>
      <c r="B73">
        <v>3</v>
      </c>
      <c r="C73">
        <v>5</v>
      </c>
      <c r="D73">
        <v>13</v>
      </c>
      <c r="E73">
        <v>16</v>
      </c>
      <c r="F73">
        <v>17</v>
      </c>
      <c r="G73">
        <v>148</v>
      </c>
      <c r="H73">
        <v>259</v>
      </c>
      <c r="I73">
        <v>177</v>
      </c>
      <c r="J73">
        <v>208</v>
      </c>
      <c r="K73">
        <v>219</v>
      </c>
      <c r="L73">
        <v>217</v>
      </c>
      <c r="M73">
        <v>250</v>
      </c>
      <c r="N73">
        <v>282</v>
      </c>
      <c r="O73">
        <v>254</v>
      </c>
    </row>
    <row r="74" spans="1:17" x14ac:dyDescent="0.35">
      <c r="A74" t="s">
        <v>132</v>
      </c>
      <c r="B74" s="5">
        <f>PRODUCT(B72,'servis podľa veku_bez scanie'!B91:P91)</f>
        <v>6782.8700324859301</v>
      </c>
      <c r="C74" s="5">
        <f>PRODUCT(C72,'servis podľa veku_bez scanie'!C91:Q91)</f>
        <v>25.809961894714114</v>
      </c>
      <c r="D74" s="5">
        <f>PRODUCT(D72,'servis podľa veku_bez scanie'!D91:R91)</f>
        <v>3349.331955392141</v>
      </c>
      <c r="E74" s="5">
        <f>PRODUCT(E72,'servis podľa veku_bez scanie'!E91:S91)</f>
        <v>16233.25808060929</v>
      </c>
      <c r="F74" s="5">
        <f>PRODUCT(F72,'servis podľa veku_bez scanie'!F91:T91)</f>
        <v>30251.448898155315</v>
      </c>
      <c r="G74" s="5">
        <f>PRODUCT(G72,'servis podľa veku_bez scanie'!G91:U91)</f>
        <v>332940.01266151719</v>
      </c>
      <c r="H74" s="5">
        <f>PRODUCT(H72,'servis podľa veku_bez scanie'!H91:V91)</f>
        <v>236960.51736615464</v>
      </c>
      <c r="I74" s="5">
        <f>PRODUCT(I72,'servis podľa veku_bez scanie'!I91:W91)</f>
        <v>183237.82342177632</v>
      </c>
      <c r="J74" s="5">
        <f>PRODUCT(J72,'servis podľa veku_bez scanie'!J91:X91)</f>
        <v>363748.87716578395</v>
      </c>
      <c r="K74" s="5">
        <f>PRODUCT(K72,'servis podľa veku_bez scanie'!K91:Y91)</f>
        <v>487935.79002226441</v>
      </c>
      <c r="L74" s="5">
        <f>PRODUCT(L72,'servis podľa veku_bez scanie'!L91:Z91)</f>
        <v>313283.76924641884</v>
      </c>
      <c r="M74" s="5">
        <f>PRODUCT(M72,'servis podľa veku_bez scanie'!M91:AA91)</f>
        <v>469114.31890649255</v>
      </c>
      <c r="N74" s="5">
        <f>PRODUCT(N72,'servis podľa veku_bez scanie'!N91:AB91)</f>
        <v>589471.28201276518</v>
      </c>
      <c r="O74" s="5">
        <f>PRODUCT(O72,'servis podľa veku_bez scanie'!O91:AC91)</f>
        <v>499172.43423988164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7"/>
  <sheetViews>
    <sheetView showGridLines="0" workbookViewId="0">
      <selection activeCell="E27" sqref="E27"/>
    </sheetView>
  </sheetViews>
  <sheetFormatPr defaultRowHeight="14.5" x14ac:dyDescent="0.35"/>
  <cols>
    <col min="1" max="1" width="3.36328125" style="66" customWidth="1"/>
    <col min="2" max="2" width="16.36328125" style="66" bestFit="1" customWidth="1"/>
    <col min="3" max="3" width="22.26953125" style="66" bestFit="1" customWidth="1"/>
    <col min="4" max="4" width="16.81640625" style="66" bestFit="1" customWidth="1"/>
    <col min="5" max="5" width="29.90625" style="66" customWidth="1"/>
    <col min="6" max="16384" width="8.7265625" style="66"/>
  </cols>
  <sheetData>
    <row r="1" spans="2:6" ht="14" customHeight="1" thickBot="1" x14ac:dyDescent="0.4">
      <c r="B1" s="66" t="s">
        <v>176</v>
      </c>
    </row>
    <row r="2" spans="2:6" s="16" customFormat="1" ht="30.5" customHeight="1" x14ac:dyDescent="0.35">
      <c r="B2" s="47" t="s">
        <v>112</v>
      </c>
      <c r="C2" s="48" t="s">
        <v>171</v>
      </c>
      <c r="D2" s="48" t="s">
        <v>172</v>
      </c>
      <c r="E2" s="67" t="s">
        <v>113</v>
      </c>
      <c r="F2" s="52" t="s">
        <v>114</v>
      </c>
    </row>
    <row r="3" spans="2:6" x14ac:dyDescent="0.35">
      <c r="B3" s="68" t="s">
        <v>115</v>
      </c>
      <c r="C3" s="69">
        <v>14</v>
      </c>
      <c r="D3" s="69">
        <v>9</v>
      </c>
      <c r="E3" s="69">
        <f>C3*2</f>
        <v>28</v>
      </c>
      <c r="F3" s="70">
        <f>D3-E3</f>
        <v>-19</v>
      </c>
    </row>
    <row r="4" spans="2:6" x14ac:dyDescent="0.35">
      <c r="B4" s="68" t="s">
        <v>116</v>
      </c>
      <c r="C4" s="69">
        <v>11</v>
      </c>
      <c r="D4" s="69">
        <v>9</v>
      </c>
      <c r="E4" s="69">
        <f>C4*2</f>
        <v>22</v>
      </c>
      <c r="F4" s="70">
        <f t="shared" ref="F4:F6" si="0">D4-E4</f>
        <v>-13</v>
      </c>
    </row>
    <row r="5" spans="2:6" x14ac:dyDescent="0.35">
      <c r="B5" s="68" t="s">
        <v>117</v>
      </c>
      <c r="C5" s="69">
        <v>39</v>
      </c>
      <c r="D5" s="69">
        <v>34</v>
      </c>
      <c r="E5" s="69">
        <f>C5</f>
        <v>39</v>
      </c>
      <c r="F5" s="70">
        <f t="shared" si="0"/>
        <v>-5</v>
      </c>
    </row>
    <row r="6" spans="2:6" x14ac:dyDescent="0.35">
      <c r="B6" s="68" t="s">
        <v>118</v>
      </c>
      <c r="C6" s="69">
        <v>54</v>
      </c>
      <c r="D6" s="69">
        <v>9</v>
      </c>
      <c r="E6" s="69">
        <f>C6</f>
        <v>54</v>
      </c>
      <c r="F6" s="70">
        <f t="shared" si="0"/>
        <v>-45</v>
      </c>
    </row>
    <row r="7" spans="2:6" s="16" customFormat="1" x14ac:dyDescent="0.35">
      <c r="B7" s="71" t="s">
        <v>31</v>
      </c>
      <c r="C7" s="72">
        <v>118</v>
      </c>
      <c r="D7" s="72">
        <v>63</v>
      </c>
      <c r="E7" s="72">
        <v>143</v>
      </c>
      <c r="F7" s="73"/>
    </row>
    <row r="8" spans="2:6" x14ac:dyDescent="0.35">
      <c r="B8" s="68"/>
      <c r="C8" s="69"/>
      <c r="D8" s="69"/>
      <c r="E8" s="69"/>
      <c r="F8" s="70"/>
    </row>
    <row r="9" spans="2:6" x14ac:dyDescent="0.35">
      <c r="B9" s="74" t="s">
        <v>119</v>
      </c>
      <c r="C9" s="69">
        <v>1</v>
      </c>
      <c r="D9" s="69">
        <v>2</v>
      </c>
      <c r="E9" s="69"/>
      <c r="F9" s="70"/>
    </row>
    <row r="10" spans="2:6" ht="15" thickBot="1" x14ac:dyDescent="0.4">
      <c r="B10" s="75" t="s">
        <v>120</v>
      </c>
      <c r="C10" s="76">
        <v>3</v>
      </c>
      <c r="D10" s="76"/>
      <c r="E10" s="76"/>
      <c r="F10" s="77"/>
    </row>
    <row r="13" spans="2:6" ht="15" thickBot="1" x14ac:dyDescent="0.4">
      <c r="B13" s="66" t="s">
        <v>175</v>
      </c>
    </row>
    <row r="14" spans="2:6" x14ac:dyDescent="0.35">
      <c r="B14" s="78" t="s">
        <v>173</v>
      </c>
      <c r="C14" s="79" t="s">
        <v>121</v>
      </c>
      <c r="D14" s="80" t="s">
        <v>122</v>
      </c>
    </row>
    <row r="15" spans="2:6" x14ac:dyDescent="0.35">
      <c r="B15" s="81" t="s">
        <v>118</v>
      </c>
      <c r="C15" s="82">
        <v>40441.555555555555</v>
      </c>
      <c r="D15" s="83">
        <v>46046.444444444445</v>
      </c>
    </row>
    <row r="16" spans="2:6" x14ac:dyDescent="0.35">
      <c r="B16" s="81" t="s">
        <v>123</v>
      </c>
      <c r="C16" s="82">
        <v>46469.794117647056</v>
      </c>
      <c r="D16" s="83">
        <v>39505.676470588238</v>
      </c>
    </row>
    <row r="17" spans="2:5" x14ac:dyDescent="0.35">
      <c r="B17" s="81" t="s">
        <v>124</v>
      </c>
      <c r="C17" s="82">
        <v>52690.333333333336</v>
      </c>
      <c r="D17" s="83">
        <v>47255</v>
      </c>
    </row>
    <row r="18" spans="2:5" x14ac:dyDescent="0.35">
      <c r="B18" s="81" t="s">
        <v>125</v>
      </c>
      <c r="C18" s="82">
        <v>53662.555555555555</v>
      </c>
      <c r="D18" s="83">
        <v>59732</v>
      </c>
    </row>
    <row r="19" spans="2:5" ht="15" thickBot="1" x14ac:dyDescent="0.4">
      <c r="B19" s="84" t="s">
        <v>174</v>
      </c>
      <c r="C19" s="85">
        <v>47559.393442622953</v>
      </c>
      <c r="D19" s="86">
        <v>44598.262295081964</v>
      </c>
    </row>
    <row r="22" spans="2:5" ht="15" thickBot="1" x14ac:dyDescent="0.4">
      <c r="B22" s="66" t="s">
        <v>177</v>
      </c>
    </row>
    <row r="23" spans="2:5" x14ac:dyDescent="0.35">
      <c r="B23" s="78" t="s">
        <v>146</v>
      </c>
      <c r="C23" s="79" t="s">
        <v>121</v>
      </c>
      <c r="D23" s="79" t="s">
        <v>122</v>
      </c>
      <c r="E23" s="87" t="s">
        <v>126</v>
      </c>
    </row>
    <row r="24" spans="2:5" x14ac:dyDescent="0.35">
      <c r="B24" s="81">
        <v>2005</v>
      </c>
      <c r="C24" s="82">
        <v>58818.4375</v>
      </c>
      <c r="D24" s="88">
        <v>44393.25</v>
      </c>
      <c r="E24" s="89">
        <f>C24/(2022-B24)</f>
        <v>3459.9080882352941</v>
      </c>
    </row>
    <row r="25" spans="2:5" x14ac:dyDescent="0.35">
      <c r="B25" s="81">
        <v>2008</v>
      </c>
      <c r="C25" s="82">
        <v>46410.551724137928</v>
      </c>
      <c r="D25" s="88">
        <v>49514.758620689652</v>
      </c>
      <c r="E25" s="89">
        <f t="shared" ref="E25" si="1">C25/(2022-B25)</f>
        <v>3315.039408866995</v>
      </c>
    </row>
    <row r="26" spans="2:5" x14ac:dyDescent="0.35">
      <c r="B26" s="81">
        <v>2009</v>
      </c>
      <c r="C26" s="82">
        <v>38382.625</v>
      </c>
      <c r="D26" s="88">
        <v>35892.125</v>
      </c>
      <c r="E26" s="89">
        <f>C26/(2022-B26)</f>
        <v>2952.5096153846152</v>
      </c>
    </row>
    <row r="27" spans="2:5" ht="15" thickBot="1" x14ac:dyDescent="0.4">
      <c r="B27" s="84" t="s">
        <v>174</v>
      </c>
      <c r="C27" s="85">
        <v>47559.393442622953</v>
      </c>
      <c r="D27" s="90">
        <v>44598.262295081964</v>
      </c>
      <c r="E27" s="9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showGridLines="0" topLeftCell="A22" zoomScale="70" zoomScaleNormal="70" workbookViewId="0">
      <selection activeCell="F45" sqref="F45"/>
    </sheetView>
  </sheetViews>
  <sheetFormatPr defaultRowHeight="14.5" x14ac:dyDescent="0.35"/>
  <cols>
    <col min="1" max="1" width="8.7265625" style="11"/>
    <col min="2" max="2" width="29.7265625" bestFit="1" customWidth="1"/>
    <col min="3" max="3" width="24.90625" bestFit="1" customWidth="1"/>
    <col min="4" max="4" width="40.1796875" bestFit="1" customWidth="1"/>
    <col min="5" max="5" width="29.26953125" customWidth="1"/>
    <col min="6" max="6" width="36.453125" bestFit="1" customWidth="1"/>
    <col min="7" max="7" width="19.81640625" customWidth="1"/>
    <col min="8" max="8" width="19.81640625" style="11" customWidth="1"/>
    <col min="9" max="9" width="30.1796875" bestFit="1" customWidth="1"/>
    <col min="10" max="10" width="11.26953125" bestFit="1" customWidth="1"/>
    <col min="11" max="11" width="12.90625" bestFit="1" customWidth="1"/>
    <col min="15" max="15" width="24.26953125" bestFit="1" customWidth="1"/>
  </cols>
  <sheetData>
    <row r="1" spans="2:20" s="11" customFormat="1" ht="15" thickBot="1" x14ac:dyDescent="0.4"/>
    <row r="2" spans="2:20" s="33" customFormat="1" x14ac:dyDescent="0.35">
      <c r="B2" s="47" t="s">
        <v>52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52"/>
    </row>
    <row r="3" spans="2:20" s="1" customFormat="1" x14ac:dyDescent="0.35">
      <c r="B3" s="92" t="s">
        <v>53</v>
      </c>
      <c r="C3" s="93">
        <v>2015</v>
      </c>
      <c r="D3" s="93">
        <v>2016</v>
      </c>
      <c r="E3" s="93">
        <v>2017</v>
      </c>
      <c r="F3" s="93">
        <v>2018</v>
      </c>
      <c r="G3" s="93">
        <v>2019</v>
      </c>
      <c r="H3" s="93">
        <v>2020</v>
      </c>
      <c r="I3" s="93">
        <v>2021</v>
      </c>
      <c r="J3" s="93" t="s">
        <v>105</v>
      </c>
      <c r="K3" s="93"/>
      <c r="L3" s="93"/>
      <c r="M3" s="93"/>
      <c r="N3" s="93"/>
      <c r="O3" s="93"/>
      <c r="P3" s="93"/>
      <c r="Q3" s="93"/>
      <c r="R3" s="93"/>
      <c r="S3" s="93"/>
      <c r="T3" s="96"/>
    </row>
    <row r="4" spans="2:20" x14ac:dyDescent="0.35">
      <c r="B4" s="53" t="s">
        <v>55</v>
      </c>
      <c r="C4" s="46">
        <v>11811</v>
      </c>
      <c r="D4" s="46">
        <v>9355</v>
      </c>
      <c r="E4" s="46">
        <v>11184</v>
      </c>
      <c r="F4" s="46">
        <v>9836</v>
      </c>
      <c r="G4" s="46">
        <v>10129</v>
      </c>
      <c r="H4" s="46">
        <v>9215</v>
      </c>
      <c r="I4" s="56">
        <v>8590</v>
      </c>
      <c r="J4" s="56">
        <f t="shared" ref="J4:J9" si="0">AVERAGE(C4:I4)</f>
        <v>10017.142857142857</v>
      </c>
      <c r="K4" s="46"/>
      <c r="L4" s="94"/>
      <c r="M4" s="46"/>
      <c r="N4" s="46"/>
      <c r="O4" s="46"/>
      <c r="P4" s="46"/>
      <c r="Q4" s="46"/>
      <c r="R4" s="46"/>
      <c r="S4" s="46"/>
      <c r="T4" s="58"/>
    </row>
    <row r="5" spans="2:20" x14ac:dyDescent="0.35">
      <c r="B5" s="53" t="s">
        <v>56</v>
      </c>
      <c r="C5" s="46">
        <v>10597</v>
      </c>
      <c r="D5" s="46">
        <v>9971</v>
      </c>
      <c r="E5" s="46">
        <v>12133</v>
      </c>
      <c r="F5" s="46">
        <v>10787</v>
      </c>
      <c r="G5" s="46">
        <v>11415</v>
      </c>
      <c r="H5" s="46">
        <v>14020</v>
      </c>
      <c r="I5" s="56">
        <v>11522</v>
      </c>
      <c r="J5" s="56">
        <f t="shared" si="0"/>
        <v>11492.142857142857</v>
      </c>
      <c r="K5" s="46"/>
      <c r="L5" s="46"/>
      <c r="M5" s="46"/>
      <c r="N5" s="46"/>
      <c r="O5" s="46"/>
      <c r="P5" s="46"/>
      <c r="Q5" s="46"/>
      <c r="R5" s="46"/>
      <c r="S5" s="46"/>
      <c r="T5" s="58"/>
    </row>
    <row r="6" spans="2:20" x14ac:dyDescent="0.35">
      <c r="B6" s="53" t="s">
        <v>57</v>
      </c>
      <c r="C6" s="46">
        <v>933</v>
      </c>
      <c r="D6" s="46">
        <v>838</v>
      </c>
      <c r="E6" s="46">
        <v>914</v>
      </c>
      <c r="F6" s="46">
        <v>884</v>
      </c>
      <c r="G6" s="46">
        <v>921</v>
      </c>
      <c r="H6" s="46">
        <v>3218</v>
      </c>
      <c r="I6" s="56">
        <v>2315</v>
      </c>
      <c r="J6" s="56">
        <f t="shared" si="0"/>
        <v>1431.8571428571429</v>
      </c>
      <c r="K6" s="46"/>
      <c r="L6" s="46"/>
      <c r="M6" s="46"/>
      <c r="N6" s="46"/>
      <c r="O6" s="46"/>
      <c r="P6" s="46"/>
      <c r="Q6" s="46"/>
      <c r="R6" s="46"/>
      <c r="S6" s="46"/>
      <c r="T6" s="58"/>
    </row>
    <row r="7" spans="2:20" x14ac:dyDescent="0.35">
      <c r="B7" s="53" t="s">
        <v>58</v>
      </c>
      <c r="C7" s="46">
        <v>7489</v>
      </c>
      <c r="D7" s="46">
        <v>8013</v>
      </c>
      <c r="E7" s="46">
        <v>8231</v>
      </c>
      <c r="F7" s="46">
        <v>8471</v>
      </c>
      <c r="G7" s="46">
        <v>8198</v>
      </c>
      <c r="H7" s="46">
        <v>7243</v>
      </c>
      <c r="I7" s="56">
        <v>6968</v>
      </c>
      <c r="J7" s="56">
        <f t="shared" si="0"/>
        <v>7801.8571428571431</v>
      </c>
      <c r="K7" s="46"/>
      <c r="L7" s="46"/>
      <c r="M7" s="46"/>
      <c r="N7" s="46"/>
      <c r="O7" s="46"/>
      <c r="P7" s="46"/>
      <c r="Q7" s="46"/>
      <c r="R7" s="46"/>
      <c r="S7" s="46"/>
      <c r="T7" s="58"/>
    </row>
    <row r="8" spans="2:20" x14ac:dyDescent="0.35">
      <c r="B8" s="53" t="s">
        <v>59</v>
      </c>
      <c r="C8" s="46">
        <v>1176</v>
      </c>
      <c r="D8" s="46">
        <v>1176</v>
      </c>
      <c r="E8" s="46">
        <v>1275</v>
      </c>
      <c r="F8" s="46">
        <v>1348</v>
      </c>
      <c r="G8" s="46">
        <v>1330</v>
      </c>
      <c r="H8" s="46">
        <v>1217</v>
      </c>
      <c r="I8" s="56">
        <v>1400</v>
      </c>
      <c r="J8" s="56">
        <f t="shared" si="0"/>
        <v>1274.5714285714287</v>
      </c>
      <c r="K8" s="46"/>
      <c r="L8" s="46"/>
      <c r="M8" s="46"/>
      <c r="N8" s="46"/>
      <c r="O8" s="46"/>
      <c r="P8" s="46"/>
      <c r="Q8" s="46"/>
      <c r="R8" s="46"/>
      <c r="S8" s="46"/>
      <c r="T8" s="58"/>
    </row>
    <row r="9" spans="2:20" x14ac:dyDescent="0.35">
      <c r="B9" s="53" t="s">
        <v>60</v>
      </c>
      <c r="C9" s="46">
        <v>32006</v>
      </c>
      <c r="D9" s="46">
        <v>29353</v>
      </c>
      <c r="E9" s="46">
        <v>33737</v>
      </c>
      <c r="F9" s="46">
        <v>31326</v>
      </c>
      <c r="G9" s="46">
        <v>31993</v>
      </c>
      <c r="H9" s="46">
        <v>34913</v>
      </c>
      <c r="I9" s="56">
        <v>30795</v>
      </c>
      <c r="J9" s="56">
        <f t="shared" si="0"/>
        <v>32017.571428571428</v>
      </c>
      <c r="K9" s="46"/>
      <c r="L9" s="46"/>
      <c r="M9" s="46"/>
      <c r="N9" s="46"/>
      <c r="O9" s="46"/>
      <c r="P9" s="46"/>
      <c r="Q9" s="46"/>
      <c r="R9" s="46"/>
      <c r="S9" s="46"/>
      <c r="T9" s="58"/>
    </row>
    <row r="10" spans="2:20" x14ac:dyDescent="0.35">
      <c r="B10" s="53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58"/>
    </row>
    <row r="11" spans="2:20" x14ac:dyDescent="0.35"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58"/>
    </row>
    <row r="12" spans="2:20" s="11" customFormat="1" x14ac:dyDescent="0.35"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58"/>
    </row>
    <row r="13" spans="2:20" s="11" customFormat="1" x14ac:dyDescent="0.35">
      <c r="B13" s="53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58"/>
    </row>
    <row r="14" spans="2:20" s="11" customFormat="1" x14ac:dyDescent="0.35">
      <c r="B14" s="53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8"/>
    </row>
    <row r="15" spans="2:20" s="11" customFormat="1" x14ac:dyDescent="0.35">
      <c r="B15" s="53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58"/>
    </row>
    <row r="16" spans="2:20" s="11" customFormat="1" x14ac:dyDescent="0.35">
      <c r="B16" s="53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58"/>
    </row>
    <row r="17" spans="2:20" s="11" customFormat="1" x14ac:dyDescent="0.35">
      <c r="B17" s="53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58"/>
    </row>
    <row r="18" spans="2:20" s="11" customFormat="1" ht="15" thickBot="1" x14ac:dyDescent="0.4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5"/>
    </row>
    <row r="19" spans="2:20" s="11" customFormat="1" x14ac:dyDescent="0.35"/>
    <row r="20" spans="2:20" ht="15" thickBot="1" x14ac:dyDescent="0.4"/>
    <row r="21" spans="2:20" x14ac:dyDescent="0.35">
      <c r="B21" s="47" t="s">
        <v>139</v>
      </c>
      <c r="C21" s="97"/>
      <c r="D21" s="97"/>
      <c r="E21" s="97"/>
      <c r="F21" s="48" t="s">
        <v>139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8"/>
    </row>
    <row r="22" spans="2:20" x14ac:dyDescent="0.35">
      <c r="B22" s="92" t="s">
        <v>66</v>
      </c>
      <c r="C22" s="93" t="s">
        <v>65</v>
      </c>
      <c r="D22" s="93" t="s">
        <v>64</v>
      </c>
      <c r="E22" s="93" t="s">
        <v>138</v>
      </c>
      <c r="F22" s="93" t="s">
        <v>64</v>
      </c>
      <c r="G22" s="93" t="s">
        <v>106</v>
      </c>
      <c r="H22" s="93" t="s">
        <v>61</v>
      </c>
      <c r="I22" s="93" t="s">
        <v>62</v>
      </c>
      <c r="J22" s="93" t="s">
        <v>110</v>
      </c>
      <c r="K22" s="93" t="s">
        <v>143</v>
      </c>
      <c r="L22" s="93"/>
      <c r="M22" s="93"/>
      <c r="N22" s="93"/>
      <c r="O22" s="93"/>
      <c r="P22" s="93"/>
      <c r="Q22" s="93"/>
      <c r="R22" s="93"/>
      <c r="S22" s="93"/>
      <c r="T22" s="96"/>
    </row>
    <row r="23" spans="2:20" x14ac:dyDescent="0.35">
      <c r="B23" s="53">
        <v>1</v>
      </c>
      <c r="C23" s="46">
        <v>7489</v>
      </c>
      <c r="D23" s="46">
        <v>2015</v>
      </c>
      <c r="E23" s="46" t="s">
        <v>137</v>
      </c>
      <c r="F23" s="46">
        <v>2015</v>
      </c>
      <c r="G23" s="46">
        <f>C7</f>
        <v>7489</v>
      </c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58"/>
    </row>
    <row r="24" spans="2:20" x14ac:dyDescent="0.35">
      <c r="B24" s="53">
        <v>2</v>
      </c>
      <c r="C24" s="46">
        <v>8013</v>
      </c>
      <c r="D24" s="46">
        <v>2016</v>
      </c>
      <c r="E24" s="46" t="s">
        <v>137</v>
      </c>
      <c r="F24" s="46">
        <v>2016</v>
      </c>
      <c r="G24" s="46">
        <f>D7</f>
        <v>8013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58"/>
    </row>
    <row r="25" spans="2:20" x14ac:dyDescent="0.35">
      <c r="B25" s="53">
        <v>3</v>
      </c>
      <c r="C25" s="46">
        <v>8231</v>
      </c>
      <c r="D25" s="46">
        <v>2017</v>
      </c>
      <c r="E25" s="46" t="s">
        <v>137</v>
      </c>
      <c r="F25" s="46">
        <v>2017</v>
      </c>
      <c r="G25" s="46">
        <f>E7</f>
        <v>8231</v>
      </c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58"/>
    </row>
    <row r="26" spans="2:20" x14ac:dyDescent="0.35">
      <c r="B26" s="53">
        <v>4</v>
      </c>
      <c r="C26" s="46">
        <v>8471</v>
      </c>
      <c r="D26" s="46">
        <v>2018</v>
      </c>
      <c r="E26" s="46" t="s">
        <v>137</v>
      </c>
      <c r="F26" s="46">
        <v>2018</v>
      </c>
      <c r="G26" s="46">
        <f>F7</f>
        <v>8471</v>
      </c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58"/>
    </row>
    <row r="27" spans="2:20" x14ac:dyDescent="0.35">
      <c r="B27" s="53">
        <v>5</v>
      </c>
      <c r="C27" s="46">
        <v>8198</v>
      </c>
      <c r="D27" s="46">
        <v>2019</v>
      </c>
      <c r="E27" s="46" t="s">
        <v>137</v>
      </c>
      <c r="F27" s="46">
        <v>2019</v>
      </c>
      <c r="G27" s="46">
        <f>G7</f>
        <v>8198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58"/>
    </row>
    <row r="28" spans="2:20" x14ac:dyDescent="0.35">
      <c r="B28" s="53">
        <v>6</v>
      </c>
      <c r="C28" s="46">
        <f t="shared" ref="C28:C45" si="1">TREND($C$23:$C$27,$B$23:$B$27,B28)</f>
        <v>8643.1999999999989</v>
      </c>
      <c r="D28" s="46">
        <v>2020</v>
      </c>
      <c r="E28" s="46" t="s">
        <v>67</v>
      </c>
      <c r="F28" s="46">
        <v>2020</v>
      </c>
      <c r="G28" s="46"/>
      <c r="H28" s="46">
        <f>H7</f>
        <v>7243</v>
      </c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58"/>
    </row>
    <row r="29" spans="2:20" x14ac:dyDescent="0.35">
      <c r="B29" s="53">
        <v>7</v>
      </c>
      <c r="C29" s="46">
        <f t="shared" si="1"/>
        <v>8830.7999999999993</v>
      </c>
      <c r="D29" s="46">
        <v>2021</v>
      </c>
      <c r="E29" s="46" t="s">
        <v>67</v>
      </c>
      <c r="F29" s="46">
        <v>2021</v>
      </c>
      <c r="G29" s="46"/>
      <c r="H29" s="46">
        <f>I7</f>
        <v>6968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58"/>
    </row>
    <row r="30" spans="2:20" x14ac:dyDescent="0.35">
      <c r="B30" s="53">
        <v>8</v>
      </c>
      <c r="C30" s="46">
        <f t="shared" si="1"/>
        <v>9018.4</v>
      </c>
      <c r="D30" s="46">
        <v>2022</v>
      </c>
      <c r="E30" s="46" t="s">
        <v>67</v>
      </c>
      <c r="F30" s="46">
        <v>2022</v>
      </c>
      <c r="G30" s="46"/>
      <c r="H30" s="46"/>
      <c r="I30" s="46">
        <f t="shared" ref="I30:I45" si="2">C30</f>
        <v>9018.4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58"/>
    </row>
    <row r="31" spans="2:20" x14ac:dyDescent="0.35">
      <c r="B31" s="53">
        <v>9</v>
      </c>
      <c r="C31" s="46">
        <f t="shared" si="1"/>
        <v>9206</v>
      </c>
      <c r="D31" s="46">
        <v>2023</v>
      </c>
      <c r="E31" s="46" t="s">
        <v>67</v>
      </c>
      <c r="F31" s="46">
        <v>2023</v>
      </c>
      <c r="G31" s="46"/>
      <c r="H31" s="46"/>
      <c r="I31" s="46">
        <f t="shared" si="2"/>
        <v>9206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58"/>
    </row>
    <row r="32" spans="2:20" x14ac:dyDescent="0.35">
      <c r="B32" s="53">
        <v>10</v>
      </c>
      <c r="C32" s="46">
        <f t="shared" si="1"/>
        <v>9393.5999999999985</v>
      </c>
      <c r="D32" s="46">
        <v>2024</v>
      </c>
      <c r="E32" s="46" t="s">
        <v>67</v>
      </c>
      <c r="F32" s="46">
        <v>2024</v>
      </c>
      <c r="G32" s="46"/>
      <c r="H32" s="46"/>
      <c r="I32" s="46">
        <f t="shared" si="2"/>
        <v>9393.5999999999985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58"/>
    </row>
    <row r="33" spans="2:20" x14ac:dyDescent="0.35">
      <c r="B33" s="53">
        <v>11</v>
      </c>
      <c r="C33" s="46">
        <f t="shared" si="1"/>
        <v>9581.1999999999989</v>
      </c>
      <c r="D33" s="46">
        <v>2025</v>
      </c>
      <c r="E33" s="46" t="s">
        <v>67</v>
      </c>
      <c r="F33" s="46">
        <v>2025</v>
      </c>
      <c r="G33" s="46"/>
      <c r="H33" s="46"/>
      <c r="I33" s="46">
        <f t="shared" si="2"/>
        <v>9581.1999999999989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58"/>
    </row>
    <row r="34" spans="2:20" x14ac:dyDescent="0.35">
      <c r="B34" s="53">
        <v>12</v>
      </c>
      <c r="C34" s="46">
        <f t="shared" si="1"/>
        <v>9768.7999999999993</v>
      </c>
      <c r="D34" s="46">
        <v>2026</v>
      </c>
      <c r="E34" s="46" t="s">
        <v>67</v>
      </c>
      <c r="F34" s="46">
        <v>2026</v>
      </c>
      <c r="G34" s="46"/>
      <c r="H34" s="46"/>
      <c r="I34" s="46">
        <f t="shared" si="2"/>
        <v>9768.7999999999993</v>
      </c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58"/>
    </row>
    <row r="35" spans="2:20" x14ac:dyDescent="0.35">
      <c r="B35" s="53">
        <v>13</v>
      </c>
      <c r="C35" s="46">
        <f t="shared" si="1"/>
        <v>9956.4</v>
      </c>
      <c r="D35" s="46">
        <v>2027</v>
      </c>
      <c r="E35" s="46" t="s">
        <v>67</v>
      </c>
      <c r="F35" s="46">
        <v>2027</v>
      </c>
      <c r="G35" s="46"/>
      <c r="H35" s="46"/>
      <c r="I35" s="46">
        <f t="shared" si="2"/>
        <v>9956.4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58"/>
    </row>
    <row r="36" spans="2:20" x14ac:dyDescent="0.35">
      <c r="B36" s="53">
        <v>14</v>
      </c>
      <c r="C36" s="46">
        <f t="shared" si="1"/>
        <v>10144</v>
      </c>
      <c r="D36" s="46">
        <v>2028</v>
      </c>
      <c r="E36" s="46" t="s">
        <v>67</v>
      </c>
      <c r="F36" s="46">
        <v>2028</v>
      </c>
      <c r="G36" s="46"/>
      <c r="H36" s="46"/>
      <c r="I36" s="46">
        <f t="shared" si="2"/>
        <v>10144</v>
      </c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58"/>
    </row>
    <row r="37" spans="2:20" x14ac:dyDescent="0.35">
      <c r="B37" s="53">
        <v>15</v>
      </c>
      <c r="C37" s="46">
        <f t="shared" si="1"/>
        <v>10331.599999999999</v>
      </c>
      <c r="D37" s="46">
        <v>2029</v>
      </c>
      <c r="E37" s="46" t="s">
        <v>67</v>
      </c>
      <c r="F37" s="46">
        <v>2029</v>
      </c>
      <c r="G37" s="46"/>
      <c r="H37" s="46"/>
      <c r="I37" s="46">
        <f t="shared" si="2"/>
        <v>10331.599999999999</v>
      </c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58"/>
    </row>
    <row r="38" spans="2:20" x14ac:dyDescent="0.35">
      <c r="B38" s="53">
        <v>16</v>
      </c>
      <c r="C38" s="46">
        <f t="shared" si="1"/>
        <v>10519.199999999999</v>
      </c>
      <c r="D38" s="46">
        <v>2030</v>
      </c>
      <c r="E38" s="46" t="s">
        <v>67</v>
      </c>
      <c r="F38" s="46">
        <v>2030</v>
      </c>
      <c r="G38" s="46"/>
      <c r="H38" s="46"/>
      <c r="I38" s="46">
        <f t="shared" si="2"/>
        <v>10519.199999999999</v>
      </c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58"/>
    </row>
    <row r="39" spans="2:20" x14ac:dyDescent="0.35">
      <c r="B39" s="53">
        <v>17</v>
      </c>
      <c r="C39" s="46">
        <f t="shared" si="1"/>
        <v>10706.8</v>
      </c>
      <c r="D39" s="46">
        <v>2031</v>
      </c>
      <c r="E39" s="46" t="s">
        <v>67</v>
      </c>
      <c r="F39" s="46">
        <v>2031</v>
      </c>
      <c r="G39" s="46"/>
      <c r="H39" s="46"/>
      <c r="I39" s="46">
        <f t="shared" si="2"/>
        <v>10706.8</v>
      </c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58"/>
    </row>
    <row r="40" spans="2:20" x14ac:dyDescent="0.35">
      <c r="B40" s="53">
        <v>18</v>
      </c>
      <c r="C40" s="46">
        <f t="shared" si="1"/>
        <v>10894.4</v>
      </c>
      <c r="D40" s="46">
        <v>2032</v>
      </c>
      <c r="E40" s="46" t="s">
        <v>67</v>
      </c>
      <c r="F40" s="46">
        <v>2032</v>
      </c>
      <c r="G40" s="46"/>
      <c r="H40" s="46"/>
      <c r="I40" s="46">
        <f t="shared" si="2"/>
        <v>10894.4</v>
      </c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58"/>
    </row>
    <row r="41" spans="2:20" x14ac:dyDescent="0.35">
      <c r="B41" s="53">
        <v>19</v>
      </c>
      <c r="C41" s="46">
        <f t="shared" si="1"/>
        <v>11082</v>
      </c>
      <c r="D41" s="46">
        <v>2033</v>
      </c>
      <c r="E41" s="46" t="s">
        <v>67</v>
      </c>
      <c r="F41" s="46">
        <v>2033</v>
      </c>
      <c r="G41" s="46"/>
      <c r="H41" s="46"/>
      <c r="I41" s="46">
        <f t="shared" si="2"/>
        <v>11082</v>
      </c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58"/>
    </row>
    <row r="42" spans="2:20" x14ac:dyDescent="0.35">
      <c r="B42" s="53">
        <v>20</v>
      </c>
      <c r="C42" s="46">
        <f t="shared" si="1"/>
        <v>11269.599999999999</v>
      </c>
      <c r="D42" s="46">
        <v>2034</v>
      </c>
      <c r="E42" s="46" t="s">
        <v>67</v>
      </c>
      <c r="F42" s="46">
        <v>2034</v>
      </c>
      <c r="G42" s="46"/>
      <c r="H42" s="46"/>
      <c r="I42" s="46">
        <f t="shared" si="2"/>
        <v>11269.599999999999</v>
      </c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58"/>
    </row>
    <row r="43" spans="2:20" x14ac:dyDescent="0.35">
      <c r="B43" s="53">
        <v>21</v>
      </c>
      <c r="C43" s="46">
        <f t="shared" si="1"/>
        <v>11457.199999999999</v>
      </c>
      <c r="D43" s="46">
        <v>2035</v>
      </c>
      <c r="E43" s="46" t="s">
        <v>67</v>
      </c>
      <c r="F43" s="46">
        <v>2035</v>
      </c>
      <c r="G43" s="46"/>
      <c r="H43" s="46"/>
      <c r="I43" s="46">
        <f t="shared" si="2"/>
        <v>11457.199999999999</v>
      </c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58"/>
    </row>
    <row r="44" spans="2:20" x14ac:dyDescent="0.35">
      <c r="B44" s="53">
        <v>22</v>
      </c>
      <c r="C44" s="46">
        <f t="shared" si="1"/>
        <v>11644.8</v>
      </c>
      <c r="D44" s="46">
        <v>2036</v>
      </c>
      <c r="E44" s="46" t="s">
        <v>67</v>
      </c>
      <c r="F44" s="46">
        <v>2036</v>
      </c>
      <c r="G44" s="46"/>
      <c r="H44" s="46"/>
      <c r="I44" s="46">
        <f t="shared" si="2"/>
        <v>11644.8</v>
      </c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58"/>
    </row>
    <row r="45" spans="2:20" ht="15" thickBot="1" x14ac:dyDescent="0.4">
      <c r="B45" s="59">
        <v>23</v>
      </c>
      <c r="C45" s="60">
        <f t="shared" si="1"/>
        <v>11832.4</v>
      </c>
      <c r="D45" s="60">
        <v>2037</v>
      </c>
      <c r="E45" s="60" t="s">
        <v>67</v>
      </c>
      <c r="F45" s="60">
        <v>2037</v>
      </c>
      <c r="G45" s="60"/>
      <c r="H45" s="60"/>
      <c r="I45" s="60">
        <f t="shared" si="2"/>
        <v>11832.4</v>
      </c>
      <c r="J45" s="60">
        <f>I45-G27</f>
        <v>3634.3999999999996</v>
      </c>
      <c r="K45" s="62">
        <f>J45/J7</f>
        <v>0.4658378041858165</v>
      </c>
      <c r="L45" s="60"/>
      <c r="M45" s="60"/>
      <c r="N45" s="60"/>
      <c r="O45" s="60"/>
      <c r="P45" s="60"/>
      <c r="Q45" s="60"/>
      <c r="R45" s="60"/>
      <c r="S45" s="60"/>
      <c r="T45" s="65"/>
    </row>
    <row r="47" spans="2:20" x14ac:dyDescent="0.35">
      <c r="H47" s="1"/>
    </row>
    <row r="49" spans="2:20" x14ac:dyDescent="0.35">
      <c r="B49" s="11"/>
      <c r="C49" s="11"/>
      <c r="D49" s="11"/>
      <c r="E49" s="11"/>
      <c r="F49" s="11"/>
      <c r="G49" s="11"/>
      <c r="I49" s="11"/>
      <c r="J49" s="11"/>
      <c r="K49" s="11"/>
    </row>
    <row r="50" spans="2:20" ht="15" thickBot="1" x14ac:dyDescent="0.4">
      <c r="B50" s="11"/>
      <c r="C50" s="11"/>
      <c r="D50" s="11"/>
      <c r="E50" s="11"/>
    </row>
    <row r="51" spans="2:20" s="33" customFormat="1" x14ac:dyDescent="0.35">
      <c r="B51" s="47" t="s">
        <v>140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52"/>
    </row>
    <row r="52" spans="2:20" s="1" customFormat="1" x14ac:dyDescent="0.35">
      <c r="B52" s="53" t="s">
        <v>63</v>
      </c>
      <c r="C52" s="46" t="s">
        <v>54</v>
      </c>
      <c r="D52" s="46" t="s">
        <v>72</v>
      </c>
      <c r="E52" s="46" t="s">
        <v>73</v>
      </c>
      <c r="F52" s="46" t="s">
        <v>127</v>
      </c>
      <c r="G52" s="46" t="s">
        <v>74</v>
      </c>
      <c r="H52" s="46"/>
      <c r="I52" s="72" t="s">
        <v>75</v>
      </c>
      <c r="J52" s="46" t="s">
        <v>73</v>
      </c>
      <c r="K52" s="46"/>
      <c r="L52" s="46"/>
      <c r="M52" s="46"/>
      <c r="N52" s="94"/>
      <c r="O52" s="94"/>
      <c r="P52" s="94"/>
      <c r="Q52" s="94"/>
      <c r="R52" s="94"/>
      <c r="S52" s="94"/>
      <c r="T52" s="95"/>
    </row>
    <row r="53" spans="2:20" s="1" customFormat="1" x14ac:dyDescent="0.35">
      <c r="B53" s="99">
        <v>2021</v>
      </c>
      <c r="C53" s="100">
        <v>30795</v>
      </c>
      <c r="D53" s="100">
        <v>13481</v>
      </c>
      <c r="E53" s="100">
        <v>5851</v>
      </c>
      <c r="F53" s="101">
        <v>210612911</v>
      </c>
      <c r="G53" s="100">
        <v>6968</v>
      </c>
      <c r="H53" s="100"/>
      <c r="I53" s="102">
        <v>7580</v>
      </c>
      <c r="J53" s="100">
        <v>4593</v>
      </c>
      <c r="K53" s="46"/>
      <c r="L53" s="46"/>
      <c r="M53" s="46"/>
      <c r="N53" s="94"/>
      <c r="O53" s="94"/>
      <c r="P53" s="94"/>
      <c r="Q53" s="94"/>
      <c r="R53" s="94"/>
      <c r="S53" s="94"/>
      <c r="T53" s="95"/>
    </row>
    <row r="54" spans="2:20" s="1" customFormat="1" x14ac:dyDescent="0.35">
      <c r="B54" s="103">
        <v>2020</v>
      </c>
      <c r="C54" s="104">
        <v>34913</v>
      </c>
      <c r="D54" s="104">
        <v>16540</v>
      </c>
      <c r="E54" s="104">
        <v>5798</v>
      </c>
      <c r="F54" s="101">
        <v>233930939</v>
      </c>
      <c r="G54" s="104">
        <v>7243</v>
      </c>
      <c r="H54" s="104"/>
      <c r="I54" s="105">
        <v>7868</v>
      </c>
      <c r="J54" s="104">
        <v>4636</v>
      </c>
      <c r="K54" s="46"/>
      <c r="L54" s="46"/>
      <c r="M54" s="46"/>
      <c r="N54" s="94"/>
      <c r="O54" s="94"/>
      <c r="P54" s="94"/>
      <c r="Q54" s="94"/>
      <c r="R54" s="94"/>
      <c r="S54" s="94"/>
      <c r="T54" s="95"/>
    </row>
    <row r="55" spans="2:20" s="1" customFormat="1" ht="15" thickBot="1" x14ac:dyDescent="0.4">
      <c r="B55" s="106">
        <v>2019</v>
      </c>
      <c r="C55" s="107">
        <v>31993</v>
      </c>
      <c r="D55" s="107">
        <v>14269</v>
      </c>
      <c r="E55" s="107">
        <v>6893</v>
      </c>
      <c r="F55" s="108">
        <v>170681323</v>
      </c>
      <c r="G55" s="107">
        <v>8198</v>
      </c>
      <c r="H55" s="107"/>
      <c r="I55" s="109">
        <v>10267</v>
      </c>
      <c r="J55" s="107">
        <v>5553</v>
      </c>
      <c r="K55" s="60"/>
      <c r="L55" s="60"/>
      <c r="M55" s="60"/>
      <c r="N55" s="110"/>
      <c r="O55" s="110"/>
      <c r="P55" s="110"/>
      <c r="Q55" s="110"/>
      <c r="R55" s="110"/>
      <c r="S55" s="110"/>
      <c r="T55" s="111"/>
    </row>
    <row r="56" spans="2:20" s="1" customFormat="1" x14ac:dyDescent="0.3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2:20" s="1" customFormat="1" x14ac:dyDescent="0.3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20" ht="13.5" customHeight="1" thickBot="1" x14ac:dyDescent="0.4"/>
    <row r="59" spans="2:20" s="1" customFormat="1" ht="13.5" customHeight="1" x14ac:dyDescent="0.35">
      <c r="B59" s="47" t="s">
        <v>141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8"/>
    </row>
    <row r="60" spans="2:20" ht="13.5" customHeight="1" x14ac:dyDescent="0.35">
      <c r="B60" s="53"/>
      <c r="C60" s="56"/>
      <c r="D60" s="56" t="s">
        <v>107</v>
      </c>
      <c r="E60" s="56" t="s">
        <v>108</v>
      </c>
      <c r="F60" s="56" t="s">
        <v>109</v>
      </c>
      <c r="G60" s="56" t="s">
        <v>143</v>
      </c>
      <c r="H60" s="56" t="s">
        <v>111</v>
      </c>
      <c r="I60" s="56" t="s">
        <v>142</v>
      </c>
      <c r="J60" s="56"/>
      <c r="K60" s="46"/>
      <c r="L60" s="46"/>
      <c r="M60" s="46"/>
      <c r="N60" s="46"/>
      <c r="O60" s="46"/>
      <c r="P60" s="46"/>
      <c r="Q60" s="46"/>
      <c r="R60" s="46"/>
      <c r="S60" s="46"/>
      <c r="T60" s="58"/>
    </row>
    <row r="61" spans="2:20" ht="13.5" customHeight="1" x14ac:dyDescent="0.35">
      <c r="B61" s="53">
        <v>1</v>
      </c>
      <c r="C61" s="112">
        <v>2015</v>
      </c>
      <c r="D61" s="113">
        <v>2843809</v>
      </c>
      <c r="E61" s="114"/>
      <c r="F61" s="5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58"/>
    </row>
    <row r="62" spans="2:20" ht="13.5" customHeight="1" x14ac:dyDescent="0.35">
      <c r="B62" s="53">
        <v>2</v>
      </c>
      <c r="C62" s="112">
        <v>2016</v>
      </c>
      <c r="D62" s="113">
        <v>2949007</v>
      </c>
      <c r="E62" s="114"/>
      <c r="F62" s="5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58"/>
    </row>
    <row r="63" spans="2:20" ht="13.5" customHeight="1" x14ac:dyDescent="0.35">
      <c r="B63" s="53">
        <v>3</v>
      </c>
      <c r="C63" s="112">
        <v>2017</v>
      </c>
      <c r="D63" s="113">
        <v>3077648</v>
      </c>
      <c r="E63" s="114"/>
      <c r="F63" s="5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58"/>
    </row>
    <row r="64" spans="2:20" ht="13.5" customHeight="1" x14ac:dyDescent="0.35">
      <c r="B64" s="53">
        <v>4</v>
      </c>
      <c r="C64" s="112">
        <v>2018</v>
      </c>
      <c r="D64" s="113">
        <v>3202442</v>
      </c>
      <c r="E64" s="114"/>
      <c r="F64" s="5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58"/>
    </row>
    <row r="65" spans="2:20" ht="13.5" customHeight="1" x14ac:dyDescent="0.35">
      <c r="B65" s="53">
        <v>5</v>
      </c>
      <c r="C65" s="112">
        <v>2019</v>
      </c>
      <c r="D65" s="113">
        <v>3286249</v>
      </c>
      <c r="E65" s="114"/>
      <c r="F65" s="5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58"/>
    </row>
    <row r="66" spans="2:20" ht="13.5" customHeight="1" x14ac:dyDescent="0.35">
      <c r="B66" s="53">
        <v>6</v>
      </c>
      <c r="C66" s="112">
        <v>2020</v>
      </c>
      <c r="D66" s="114"/>
      <c r="E66" s="113">
        <v>3346794</v>
      </c>
      <c r="F66" s="5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58"/>
    </row>
    <row r="67" spans="2:20" x14ac:dyDescent="0.35">
      <c r="B67" s="53">
        <v>7</v>
      </c>
      <c r="C67" s="112">
        <v>2021</v>
      </c>
      <c r="D67" s="114"/>
      <c r="E67" s="114">
        <v>3436018</v>
      </c>
      <c r="F67" s="5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58"/>
    </row>
    <row r="68" spans="2:20" x14ac:dyDescent="0.35">
      <c r="B68" s="53">
        <v>8</v>
      </c>
      <c r="C68" s="112">
        <v>2022</v>
      </c>
      <c r="D68" s="114"/>
      <c r="E68" s="56"/>
      <c r="F68" s="56">
        <v>3640988.5</v>
      </c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58"/>
    </row>
    <row r="69" spans="2:20" x14ac:dyDescent="0.35">
      <c r="B69" s="53">
        <v>9</v>
      </c>
      <c r="C69" s="112">
        <v>2023</v>
      </c>
      <c r="D69" s="114"/>
      <c r="E69" s="56"/>
      <c r="F69" s="56">
        <v>3754820</v>
      </c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58"/>
    </row>
    <row r="70" spans="2:20" x14ac:dyDescent="0.35">
      <c r="B70" s="53">
        <v>10</v>
      </c>
      <c r="C70" s="112">
        <v>2024</v>
      </c>
      <c r="D70" s="114"/>
      <c r="E70" s="56"/>
      <c r="F70" s="56">
        <v>3868651.5</v>
      </c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58"/>
    </row>
    <row r="71" spans="2:20" x14ac:dyDescent="0.35">
      <c r="B71" s="53">
        <v>11</v>
      </c>
      <c r="C71" s="112">
        <v>2025</v>
      </c>
      <c r="D71" s="114"/>
      <c r="E71" s="56"/>
      <c r="F71" s="56">
        <v>3982483</v>
      </c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58"/>
    </row>
    <row r="72" spans="2:20" x14ac:dyDescent="0.35">
      <c r="B72" s="53">
        <v>12</v>
      </c>
      <c r="C72" s="112">
        <v>2026</v>
      </c>
      <c r="D72" s="114"/>
      <c r="E72" s="56"/>
      <c r="F72" s="56">
        <v>4096314.5</v>
      </c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58"/>
    </row>
    <row r="73" spans="2:20" x14ac:dyDescent="0.35">
      <c r="B73" s="53">
        <v>13</v>
      </c>
      <c r="C73" s="112">
        <v>2027</v>
      </c>
      <c r="D73" s="114"/>
      <c r="E73" s="56"/>
      <c r="F73" s="56">
        <v>4210146</v>
      </c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58"/>
    </row>
    <row r="74" spans="2:20" x14ac:dyDescent="0.35">
      <c r="B74" s="53">
        <v>14</v>
      </c>
      <c r="C74" s="112">
        <v>2028</v>
      </c>
      <c r="D74" s="114"/>
      <c r="E74" s="56"/>
      <c r="F74" s="56">
        <v>4323977.5</v>
      </c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58"/>
    </row>
    <row r="75" spans="2:20" x14ac:dyDescent="0.35">
      <c r="B75" s="53">
        <v>15</v>
      </c>
      <c r="C75" s="112">
        <v>2029</v>
      </c>
      <c r="D75" s="114"/>
      <c r="E75" s="56"/>
      <c r="F75" s="56">
        <v>4437809</v>
      </c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58"/>
    </row>
    <row r="76" spans="2:20" x14ac:dyDescent="0.35">
      <c r="B76" s="53">
        <v>16</v>
      </c>
      <c r="C76" s="112">
        <v>2030</v>
      </c>
      <c r="D76" s="114"/>
      <c r="E76" s="56"/>
      <c r="F76" s="56">
        <v>4551640.5</v>
      </c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58"/>
    </row>
    <row r="77" spans="2:20" x14ac:dyDescent="0.35">
      <c r="B77" s="53">
        <v>17</v>
      </c>
      <c r="C77" s="112">
        <v>2031</v>
      </c>
      <c r="D77" s="114"/>
      <c r="E77" s="56"/>
      <c r="F77" s="56">
        <v>4665472</v>
      </c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58"/>
    </row>
    <row r="78" spans="2:20" x14ac:dyDescent="0.35">
      <c r="B78" s="53">
        <v>18</v>
      </c>
      <c r="C78" s="112">
        <v>2032</v>
      </c>
      <c r="D78" s="114"/>
      <c r="E78" s="56"/>
      <c r="F78" s="56">
        <v>4779303.5</v>
      </c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58"/>
    </row>
    <row r="79" spans="2:20" x14ac:dyDescent="0.35">
      <c r="B79" s="53">
        <v>19</v>
      </c>
      <c r="C79" s="112">
        <v>2033</v>
      </c>
      <c r="D79" s="114"/>
      <c r="E79" s="56"/>
      <c r="F79" s="56">
        <v>4893135</v>
      </c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58"/>
    </row>
    <row r="80" spans="2:20" x14ac:dyDescent="0.35">
      <c r="B80" s="53">
        <v>20</v>
      </c>
      <c r="C80" s="112">
        <v>2034</v>
      </c>
      <c r="D80" s="114"/>
      <c r="E80" s="56"/>
      <c r="F80" s="56">
        <v>5006966.5</v>
      </c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58"/>
    </row>
    <row r="81" spans="2:20" x14ac:dyDescent="0.35">
      <c r="B81" s="53">
        <v>21</v>
      </c>
      <c r="C81" s="112">
        <v>2035</v>
      </c>
      <c r="D81" s="114"/>
      <c r="E81" s="56"/>
      <c r="F81" s="56">
        <v>5120798</v>
      </c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58"/>
    </row>
    <row r="82" spans="2:20" x14ac:dyDescent="0.35">
      <c r="B82" s="53">
        <v>22</v>
      </c>
      <c r="C82" s="112">
        <v>2036</v>
      </c>
      <c r="D82" s="114"/>
      <c r="E82" s="56"/>
      <c r="F82" s="56">
        <v>5234629.5</v>
      </c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58"/>
    </row>
    <row r="83" spans="2:20" x14ac:dyDescent="0.35">
      <c r="B83" s="53">
        <v>23</v>
      </c>
      <c r="C83" s="112">
        <v>2037</v>
      </c>
      <c r="D83" s="114"/>
      <c r="E83" s="46"/>
      <c r="F83" s="46">
        <v>5348461</v>
      </c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58"/>
    </row>
    <row r="84" spans="2:20" x14ac:dyDescent="0.35">
      <c r="B84" s="53" t="s">
        <v>110</v>
      </c>
      <c r="C84" s="46"/>
      <c r="D84" s="46"/>
      <c r="E84" s="46"/>
      <c r="F84" s="56">
        <f>F83-D65</f>
        <v>2062212</v>
      </c>
      <c r="G84" s="55">
        <f>F84/E67</f>
        <v>0.6001749699797847</v>
      </c>
      <c r="H84" s="5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58"/>
    </row>
    <row r="85" spans="2:20" ht="15" thickBot="1" x14ac:dyDescent="0.4">
      <c r="B85" s="59"/>
      <c r="C85" s="60"/>
      <c r="D85" s="60"/>
      <c r="E85" s="60"/>
      <c r="F85" s="60"/>
      <c r="G85" s="60"/>
      <c r="H85" s="60">
        <v>42326</v>
      </c>
      <c r="I85" s="62">
        <f>(((F83-E67)*0.75)+H85)/F83</f>
        <v>0.27609030896925302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showGridLines="0" topLeftCell="A64" workbookViewId="0">
      <selection activeCell="F3" sqref="F3:F64"/>
    </sheetView>
  </sheetViews>
  <sheetFormatPr defaultRowHeight="14.5" x14ac:dyDescent="0.35"/>
  <cols>
    <col min="1" max="1" width="1.6328125" style="11" customWidth="1"/>
    <col min="2" max="2" width="5.81640625" bestFit="1" customWidth="1"/>
    <col min="3" max="3" width="10" bestFit="1" customWidth="1"/>
    <col min="4" max="4" width="23.54296875" bestFit="1" customWidth="1"/>
    <col min="5" max="5" width="10.6328125" bestFit="1" customWidth="1"/>
    <col min="6" max="6" width="10" style="45" bestFit="1" customWidth="1"/>
    <col min="7" max="7" width="9.6328125" bestFit="1" customWidth="1"/>
    <col min="8" max="8" width="9.54296875" style="17" bestFit="1" customWidth="1"/>
    <col min="9" max="9" width="10.08984375" bestFit="1" customWidth="1"/>
    <col min="10" max="10" width="10.54296875" style="12" bestFit="1" customWidth="1"/>
    <col min="11" max="11" width="10.54296875" bestFit="1" customWidth="1"/>
    <col min="12" max="12" width="11" bestFit="1" customWidth="1"/>
    <col min="13" max="13" width="8.36328125" bestFit="1" customWidth="1"/>
    <col min="14" max="14" width="5" bestFit="1" customWidth="1"/>
    <col min="15" max="15" width="25" bestFit="1" customWidth="1"/>
    <col min="17" max="17" width="17.90625" bestFit="1" customWidth="1"/>
    <col min="18" max="18" width="25" bestFit="1" customWidth="1"/>
  </cols>
  <sheetData>
    <row r="1" spans="2:18" s="11" customFormat="1" ht="7" customHeight="1" thickBot="1" x14ac:dyDescent="0.4">
      <c r="F1" s="45"/>
      <c r="H1" s="17"/>
      <c r="J1" s="12"/>
    </row>
    <row r="2" spans="2:18" x14ac:dyDescent="0.35">
      <c r="B2" s="47" t="s">
        <v>163</v>
      </c>
      <c r="C2" s="48" t="s">
        <v>144</v>
      </c>
      <c r="D2" s="48" t="s">
        <v>145</v>
      </c>
      <c r="E2" s="48" t="s">
        <v>165</v>
      </c>
      <c r="F2" s="49" t="s">
        <v>166</v>
      </c>
      <c r="G2" s="48" t="s">
        <v>167</v>
      </c>
      <c r="H2" s="50" t="s">
        <v>168</v>
      </c>
      <c r="I2" s="48" t="s">
        <v>147</v>
      </c>
      <c r="J2" s="51" t="s">
        <v>148</v>
      </c>
      <c r="K2" s="48" t="s">
        <v>169</v>
      </c>
      <c r="L2" s="48" t="s">
        <v>149</v>
      </c>
      <c r="M2" s="48" t="s">
        <v>150</v>
      </c>
      <c r="N2" s="48" t="s">
        <v>151</v>
      </c>
      <c r="O2" s="52" t="s">
        <v>170</v>
      </c>
      <c r="Q2" s="47" t="s">
        <v>154</v>
      </c>
      <c r="R2" s="52" t="s">
        <v>145</v>
      </c>
    </row>
    <row r="3" spans="2:18" x14ac:dyDescent="0.35">
      <c r="B3" s="53">
        <v>42557</v>
      </c>
      <c r="C3" s="46">
        <v>2008</v>
      </c>
      <c r="D3" s="46" t="s">
        <v>152</v>
      </c>
      <c r="E3" s="46">
        <v>1053</v>
      </c>
      <c r="F3" s="54">
        <v>50374</v>
      </c>
      <c r="G3" s="46">
        <v>2008</v>
      </c>
      <c r="H3" s="55">
        <v>0.10325507662765157</v>
      </c>
      <c r="I3" s="46">
        <v>14</v>
      </c>
      <c r="J3" s="56">
        <f>E3/10000</f>
        <v>0.1053</v>
      </c>
      <c r="K3" s="46">
        <v>5</v>
      </c>
      <c r="L3" s="46">
        <v>2</v>
      </c>
      <c r="M3" s="46">
        <v>1</v>
      </c>
      <c r="N3" s="57">
        <f>I3+J3+K3+L3+M3</f>
        <v>22.1053</v>
      </c>
      <c r="O3" s="58" t="s">
        <v>162</v>
      </c>
      <c r="Q3" s="53" t="s">
        <v>155</v>
      </c>
      <c r="R3" s="58" t="s">
        <v>156</v>
      </c>
    </row>
    <row r="4" spans="2:18" x14ac:dyDescent="0.35">
      <c r="B4" s="53">
        <v>42768</v>
      </c>
      <c r="C4" s="46">
        <v>2009</v>
      </c>
      <c r="D4" s="46" t="s">
        <v>152</v>
      </c>
      <c r="E4" s="46">
        <v>16596</v>
      </c>
      <c r="F4" s="54">
        <v>18254</v>
      </c>
      <c r="G4" s="46">
        <v>2009</v>
      </c>
      <c r="H4" s="55">
        <v>3.3816287119877532E-2</v>
      </c>
      <c r="I4" s="46">
        <v>13</v>
      </c>
      <c r="J4" s="56">
        <f t="shared" ref="J4:J64" si="0">E4/10000</f>
        <v>1.6596</v>
      </c>
      <c r="K4" s="46">
        <v>5</v>
      </c>
      <c r="L4" s="46">
        <v>2</v>
      </c>
      <c r="M4" s="46">
        <v>1</v>
      </c>
      <c r="N4" s="57">
        <f t="shared" ref="N4:N64" si="1">I4+J4+K4+L4+M4</f>
        <v>22.659599999999998</v>
      </c>
      <c r="O4" s="58" t="s">
        <v>162</v>
      </c>
      <c r="Q4" s="53" t="s">
        <v>157</v>
      </c>
      <c r="R4" s="58" t="s">
        <v>158</v>
      </c>
    </row>
    <row r="5" spans="2:18" x14ac:dyDescent="0.35">
      <c r="B5" s="53">
        <v>42800</v>
      </c>
      <c r="C5" s="46">
        <v>2009</v>
      </c>
      <c r="D5" s="46" t="s">
        <v>152</v>
      </c>
      <c r="E5" s="46">
        <v>30017</v>
      </c>
      <c r="F5" s="54">
        <v>38927</v>
      </c>
      <c r="G5" s="46">
        <v>2009</v>
      </c>
      <c r="H5" s="55">
        <v>7.5464278722826544E-2</v>
      </c>
      <c r="I5" s="46">
        <v>13</v>
      </c>
      <c r="J5" s="56">
        <f t="shared" si="0"/>
        <v>3.0017</v>
      </c>
      <c r="K5" s="46">
        <v>5</v>
      </c>
      <c r="L5" s="46">
        <v>1</v>
      </c>
      <c r="M5" s="46">
        <v>1</v>
      </c>
      <c r="N5" s="57">
        <f t="shared" si="1"/>
        <v>23.0017</v>
      </c>
      <c r="O5" s="58" t="s">
        <v>162</v>
      </c>
      <c r="Q5" s="53" t="s">
        <v>159</v>
      </c>
      <c r="R5" s="58" t="s">
        <v>160</v>
      </c>
    </row>
    <row r="6" spans="2:18" ht="15" thickBot="1" x14ac:dyDescent="0.4">
      <c r="B6" s="53">
        <v>42814</v>
      </c>
      <c r="C6" s="46">
        <v>2009</v>
      </c>
      <c r="D6" s="46" t="s">
        <v>153</v>
      </c>
      <c r="E6" s="46">
        <v>25623</v>
      </c>
      <c r="F6" s="54">
        <v>16138</v>
      </c>
      <c r="G6" s="46">
        <v>2009</v>
      </c>
      <c r="H6" s="55">
        <v>3.1285291186810567E-2</v>
      </c>
      <c r="I6" s="46">
        <v>13</v>
      </c>
      <c r="J6" s="56">
        <f t="shared" si="0"/>
        <v>2.5623</v>
      </c>
      <c r="K6" s="46">
        <v>5</v>
      </c>
      <c r="L6" s="46">
        <v>2</v>
      </c>
      <c r="M6" s="46">
        <v>1</v>
      </c>
      <c r="N6" s="57">
        <f t="shared" si="1"/>
        <v>23.5623</v>
      </c>
      <c r="O6" s="58" t="s">
        <v>162</v>
      </c>
      <c r="Q6" s="59" t="s">
        <v>161</v>
      </c>
      <c r="R6" s="65" t="s">
        <v>162</v>
      </c>
    </row>
    <row r="7" spans="2:18" x14ac:dyDescent="0.35">
      <c r="B7" s="53">
        <v>42807</v>
      </c>
      <c r="C7" s="46">
        <v>2009</v>
      </c>
      <c r="D7" s="46" t="s">
        <v>152</v>
      </c>
      <c r="E7" s="46">
        <v>25969</v>
      </c>
      <c r="F7" s="54">
        <v>26898</v>
      </c>
      <c r="G7" s="46">
        <v>2009</v>
      </c>
      <c r="H7" s="55">
        <v>5.2144736791599366E-2</v>
      </c>
      <c r="I7" s="46">
        <v>13</v>
      </c>
      <c r="J7" s="56">
        <f t="shared" si="0"/>
        <v>2.5969000000000002</v>
      </c>
      <c r="K7" s="46">
        <v>5</v>
      </c>
      <c r="L7" s="46">
        <v>2</v>
      </c>
      <c r="M7" s="46">
        <v>1</v>
      </c>
      <c r="N7" s="57">
        <f t="shared" si="1"/>
        <v>23.596899999999998</v>
      </c>
      <c r="O7" s="58" t="s">
        <v>162</v>
      </c>
    </row>
    <row r="8" spans="2:18" x14ac:dyDescent="0.35">
      <c r="B8" s="53">
        <v>42798</v>
      </c>
      <c r="C8" s="46">
        <v>2009</v>
      </c>
      <c r="D8" s="46" t="s">
        <v>152</v>
      </c>
      <c r="E8" s="46">
        <v>37001</v>
      </c>
      <c r="F8" s="54">
        <v>44587</v>
      </c>
      <c r="G8" s="46">
        <v>2009</v>
      </c>
      <c r="H8" s="55">
        <v>8.6436812377390176E-2</v>
      </c>
      <c r="I8" s="46">
        <v>13</v>
      </c>
      <c r="J8" s="56">
        <f t="shared" si="0"/>
        <v>3.7000999999999999</v>
      </c>
      <c r="K8" s="46">
        <v>5</v>
      </c>
      <c r="L8" s="46">
        <v>1</v>
      </c>
      <c r="M8" s="46">
        <v>1</v>
      </c>
      <c r="N8" s="57">
        <f t="shared" si="1"/>
        <v>23.700099999999999</v>
      </c>
      <c r="O8" s="58" t="s">
        <v>162</v>
      </c>
    </row>
    <row r="9" spans="2:18" x14ac:dyDescent="0.35">
      <c r="B9" s="53">
        <v>42806</v>
      </c>
      <c r="C9" s="46">
        <v>2009</v>
      </c>
      <c r="D9" s="46" t="s">
        <v>152</v>
      </c>
      <c r="E9" s="46">
        <v>27507</v>
      </c>
      <c r="F9" s="54">
        <v>21268</v>
      </c>
      <c r="G9" s="46">
        <v>2009</v>
      </c>
      <c r="H9" s="55">
        <v>4.1230361442625298E-2</v>
      </c>
      <c r="I9" s="46">
        <v>13</v>
      </c>
      <c r="J9" s="56">
        <f t="shared" si="0"/>
        <v>2.7507000000000001</v>
      </c>
      <c r="K9" s="46">
        <v>5</v>
      </c>
      <c r="L9" s="46">
        <v>2</v>
      </c>
      <c r="M9" s="46">
        <v>1</v>
      </c>
      <c r="N9" s="57">
        <f t="shared" si="1"/>
        <v>23.750700000000002</v>
      </c>
      <c r="O9" s="58" t="s">
        <v>162</v>
      </c>
    </row>
    <row r="10" spans="2:18" x14ac:dyDescent="0.35">
      <c r="B10" s="53">
        <v>42771</v>
      </c>
      <c r="C10" s="46">
        <v>2009</v>
      </c>
      <c r="D10" s="46" t="s">
        <v>152</v>
      </c>
      <c r="E10" s="46">
        <v>39781</v>
      </c>
      <c r="F10" s="54">
        <v>25782</v>
      </c>
      <c r="G10" s="46">
        <v>2009</v>
      </c>
      <c r="H10" s="55">
        <v>4.7762217296191657E-2</v>
      </c>
      <c r="I10" s="46">
        <v>13</v>
      </c>
      <c r="J10" s="56">
        <f t="shared" si="0"/>
        <v>3.9781</v>
      </c>
      <c r="K10" s="46">
        <v>5</v>
      </c>
      <c r="L10" s="46">
        <v>1</v>
      </c>
      <c r="M10" s="46">
        <v>1</v>
      </c>
      <c r="N10" s="57">
        <f t="shared" si="1"/>
        <v>23.978100000000001</v>
      </c>
      <c r="O10" s="58" t="s">
        <v>162</v>
      </c>
    </row>
    <row r="11" spans="2:18" x14ac:dyDescent="0.35">
      <c r="B11" s="53">
        <v>42764</v>
      </c>
      <c r="C11" s="46">
        <v>2009</v>
      </c>
      <c r="D11" s="46" t="s">
        <v>152</v>
      </c>
      <c r="E11" s="46">
        <v>31405</v>
      </c>
      <c r="F11" s="54">
        <v>45969</v>
      </c>
      <c r="G11" s="46">
        <v>2009</v>
      </c>
      <c r="H11" s="55">
        <v>8.5159466561501598E-2</v>
      </c>
      <c r="I11" s="46">
        <v>13</v>
      </c>
      <c r="J11" s="56">
        <f t="shared" si="0"/>
        <v>3.1404999999999998</v>
      </c>
      <c r="K11" s="46">
        <v>5</v>
      </c>
      <c r="L11" s="46">
        <v>2</v>
      </c>
      <c r="M11" s="46">
        <v>1</v>
      </c>
      <c r="N11" s="57">
        <f t="shared" si="1"/>
        <v>24.140499999999999</v>
      </c>
      <c r="O11" s="58" t="s">
        <v>162</v>
      </c>
    </row>
    <row r="12" spans="2:18" x14ac:dyDescent="0.35">
      <c r="B12" s="53">
        <v>42767</v>
      </c>
      <c r="C12" s="46">
        <v>2009</v>
      </c>
      <c r="D12" s="46" t="s">
        <v>152</v>
      </c>
      <c r="E12" s="46">
        <v>47162</v>
      </c>
      <c r="F12" s="54">
        <v>58962</v>
      </c>
      <c r="G12" s="46">
        <v>2009</v>
      </c>
      <c r="H12" s="55">
        <v>0.10922953441230519</v>
      </c>
      <c r="I12" s="46">
        <v>13</v>
      </c>
      <c r="J12" s="56">
        <f t="shared" si="0"/>
        <v>4.7161999999999997</v>
      </c>
      <c r="K12" s="46">
        <v>5</v>
      </c>
      <c r="L12" s="46">
        <v>1</v>
      </c>
      <c r="M12" s="46">
        <v>1</v>
      </c>
      <c r="N12" s="57">
        <f t="shared" si="1"/>
        <v>24.716200000000001</v>
      </c>
      <c r="O12" s="58" t="s">
        <v>162</v>
      </c>
    </row>
    <row r="13" spans="2:18" x14ac:dyDescent="0.35">
      <c r="B13" s="53">
        <v>42762</v>
      </c>
      <c r="C13" s="46">
        <v>2009</v>
      </c>
      <c r="D13" s="46" t="s">
        <v>152</v>
      </c>
      <c r="E13" s="46">
        <v>37261</v>
      </c>
      <c r="F13" s="54">
        <v>47263</v>
      </c>
      <c r="G13" s="46">
        <v>2009</v>
      </c>
      <c r="H13" s="55">
        <v>8.7556654878205964E-2</v>
      </c>
      <c r="I13" s="46">
        <v>13</v>
      </c>
      <c r="J13" s="56">
        <f t="shared" si="0"/>
        <v>3.7261000000000002</v>
      </c>
      <c r="K13" s="46">
        <v>5</v>
      </c>
      <c r="L13" s="46">
        <v>2</v>
      </c>
      <c r="M13" s="46">
        <v>1</v>
      </c>
      <c r="N13" s="57">
        <f t="shared" si="1"/>
        <v>24.726099999999999</v>
      </c>
      <c r="O13" s="58" t="s">
        <v>162</v>
      </c>
    </row>
    <row r="14" spans="2:18" x14ac:dyDescent="0.35">
      <c r="B14" s="53">
        <v>42665</v>
      </c>
      <c r="C14" s="46">
        <v>2008</v>
      </c>
      <c r="D14" s="46" t="s">
        <v>152</v>
      </c>
      <c r="E14" s="46">
        <v>38196</v>
      </c>
      <c r="F14" s="54">
        <v>43577</v>
      </c>
      <c r="G14" s="46">
        <v>2008</v>
      </c>
      <c r="H14" s="55">
        <v>8.9322827934044391E-2</v>
      </c>
      <c r="I14" s="46">
        <v>14</v>
      </c>
      <c r="J14" s="56">
        <f t="shared" si="0"/>
        <v>3.8195999999999999</v>
      </c>
      <c r="K14" s="46">
        <v>5</v>
      </c>
      <c r="L14" s="46">
        <v>1</v>
      </c>
      <c r="M14" s="46">
        <v>1</v>
      </c>
      <c r="N14" s="57">
        <f t="shared" si="1"/>
        <v>24.819600000000001</v>
      </c>
      <c r="O14" s="58" t="s">
        <v>162</v>
      </c>
    </row>
    <row r="15" spans="2:18" x14ac:dyDescent="0.35">
      <c r="B15" s="53">
        <v>42765</v>
      </c>
      <c r="C15" s="46">
        <v>2009</v>
      </c>
      <c r="D15" s="46" t="s">
        <v>152</v>
      </c>
      <c r="E15" s="46">
        <v>38300</v>
      </c>
      <c r="F15" s="54">
        <v>26824</v>
      </c>
      <c r="G15" s="46">
        <v>2009</v>
      </c>
      <c r="H15" s="55">
        <v>4.9692565229735669E-2</v>
      </c>
      <c r="I15" s="46">
        <v>13</v>
      </c>
      <c r="J15" s="56">
        <f t="shared" si="0"/>
        <v>3.83</v>
      </c>
      <c r="K15" s="46">
        <v>5</v>
      </c>
      <c r="L15" s="46">
        <v>2</v>
      </c>
      <c r="M15" s="46">
        <v>1</v>
      </c>
      <c r="N15" s="57">
        <f t="shared" si="1"/>
        <v>24.83</v>
      </c>
      <c r="O15" s="58" t="s">
        <v>162</v>
      </c>
    </row>
    <row r="16" spans="2:18" x14ac:dyDescent="0.35">
      <c r="B16" s="53">
        <v>42651</v>
      </c>
      <c r="C16" s="46">
        <v>2008</v>
      </c>
      <c r="D16" s="46" t="s">
        <v>152</v>
      </c>
      <c r="E16" s="46">
        <v>38689</v>
      </c>
      <c r="F16" s="54">
        <v>35051</v>
      </c>
      <c r="G16" s="46">
        <v>2008</v>
      </c>
      <c r="H16" s="55">
        <v>7.1846488788034735E-2</v>
      </c>
      <c r="I16" s="46">
        <v>14</v>
      </c>
      <c r="J16" s="56">
        <f t="shared" si="0"/>
        <v>3.8689</v>
      </c>
      <c r="K16" s="46">
        <v>5</v>
      </c>
      <c r="L16" s="46">
        <v>1</v>
      </c>
      <c r="M16" s="46">
        <v>1</v>
      </c>
      <c r="N16" s="57">
        <f t="shared" si="1"/>
        <v>24.8689</v>
      </c>
      <c r="O16" s="58" t="s">
        <v>162</v>
      </c>
    </row>
    <row r="17" spans="2:15" x14ac:dyDescent="0.35">
      <c r="B17" s="53">
        <v>42652</v>
      </c>
      <c r="C17" s="46">
        <v>2008</v>
      </c>
      <c r="D17" s="46" t="s">
        <v>152</v>
      </c>
      <c r="E17" s="46">
        <v>39069</v>
      </c>
      <c r="F17" s="54">
        <v>53761</v>
      </c>
      <c r="G17" s="46">
        <v>2008</v>
      </c>
      <c r="H17" s="55">
        <v>0.11019768576455838</v>
      </c>
      <c r="I17" s="46">
        <v>14</v>
      </c>
      <c r="J17" s="56">
        <f t="shared" si="0"/>
        <v>3.9068999999999998</v>
      </c>
      <c r="K17" s="46">
        <v>5</v>
      </c>
      <c r="L17" s="46">
        <v>1</v>
      </c>
      <c r="M17" s="46">
        <v>1</v>
      </c>
      <c r="N17" s="57">
        <f t="shared" si="1"/>
        <v>24.9069</v>
      </c>
      <c r="O17" s="58" t="s">
        <v>162</v>
      </c>
    </row>
    <row r="18" spans="2:15" x14ac:dyDescent="0.35">
      <c r="B18" s="53">
        <v>42769</v>
      </c>
      <c r="C18" s="46">
        <v>2009</v>
      </c>
      <c r="D18" s="46" t="s">
        <v>152</v>
      </c>
      <c r="E18" s="46">
        <v>49680</v>
      </c>
      <c r="F18" s="54">
        <v>43065</v>
      </c>
      <c r="G18" s="46">
        <v>2009</v>
      </c>
      <c r="H18" s="55">
        <v>7.9779686907939407E-2</v>
      </c>
      <c r="I18" s="46">
        <v>13</v>
      </c>
      <c r="J18" s="56">
        <f t="shared" si="0"/>
        <v>4.968</v>
      </c>
      <c r="K18" s="46">
        <v>5</v>
      </c>
      <c r="L18" s="46">
        <v>1</v>
      </c>
      <c r="M18" s="46">
        <v>1</v>
      </c>
      <c r="N18" s="57">
        <f t="shared" si="1"/>
        <v>24.968</v>
      </c>
      <c r="O18" s="58" t="s">
        <v>162</v>
      </c>
    </row>
    <row r="19" spans="2:15" x14ac:dyDescent="0.35">
      <c r="B19" s="53">
        <v>42560</v>
      </c>
      <c r="C19" s="46">
        <v>2008</v>
      </c>
      <c r="D19" s="46" t="s">
        <v>152</v>
      </c>
      <c r="E19" s="46">
        <v>30156</v>
      </c>
      <c r="F19" s="54">
        <v>70705</v>
      </c>
      <c r="G19" s="46">
        <v>2008</v>
      </c>
      <c r="H19" s="55">
        <v>0.144928935422204</v>
      </c>
      <c r="I19" s="46">
        <v>14</v>
      </c>
      <c r="J19" s="56">
        <f t="shared" si="0"/>
        <v>3.0156000000000001</v>
      </c>
      <c r="K19" s="46">
        <v>5</v>
      </c>
      <c r="L19" s="46">
        <v>2</v>
      </c>
      <c r="M19" s="46">
        <v>1</v>
      </c>
      <c r="N19" s="57">
        <f t="shared" si="1"/>
        <v>25.015599999999999</v>
      </c>
      <c r="O19" s="58" t="s">
        <v>162</v>
      </c>
    </row>
    <row r="20" spans="2:15" x14ac:dyDescent="0.35">
      <c r="B20" s="53">
        <v>42770</v>
      </c>
      <c r="C20" s="46">
        <v>2009</v>
      </c>
      <c r="D20" s="46" t="s">
        <v>152</v>
      </c>
      <c r="E20" s="46">
        <v>40162</v>
      </c>
      <c r="F20" s="54">
        <v>14376</v>
      </c>
      <c r="G20" s="46">
        <v>2009</v>
      </c>
      <c r="H20" s="55">
        <v>2.6632132334576498E-2</v>
      </c>
      <c r="I20" s="46">
        <v>13</v>
      </c>
      <c r="J20" s="56">
        <f t="shared" si="0"/>
        <v>4.0162000000000004</v>
      </c>
      <c r="K20" s="46">
        <v>5</v>
      </c>
      <c r="L20" s="46">
        <v>2</v>
      </c>
      <c r="M20" s="46">
        <v>1</v>
      </c>
      <c r="N20" s="57">
        <f t="shared" si="1"/>
        <v>25.016200000000001</v>
      </c>
      <c r="O20" s="58" t="s">
        <v>162</v>
      </c>
    </row>
    <row r="21" spans="2:15" x14ac:dyDescent="0.35">
      <c r="B21" s="53">
        <v>42813</v>
      </c>
      <c r="C21" s="46">
        <v>2009</v>
      </c>
      <c r="D21" s="46" t="s">
        <v>152</v>
      </c>
      <c r="E21" s="46">
        <v>50721</v>
      </c>
      <c r="F21" s="54">
        <v>52621</v>
      </c>
      <c r="G21" s="46">
        <v>2009</v>
      </c>
      <c r="H21" s="55">
        <v>0.1020116066142743</v>
      </c>
      <c r="I21" s="46">
        <v>13</v>
      </c>
      <c r="J21" s="56">
        <f t="shared" si="0"/>
        <v>5.0720999999999998</v>
      </c>
      <c r="K21" s="46">
        <v>5</v>
      </c>
      <c r="L21" s="46">
        <v>1</v>
      </c>
      <c r="M21" s="46">
        <v>1</v>
      </c>
      <c r="N21" s="57">
        <f t="shared" si="1"/>
        <v>25.072099999999999</v>
      </c>
      <c r="O21" s="58" t="s">
        <v>162</v>
      </c>
    </row>
    <row r="22" spans="2:15" x14ac:dyDescent="0.35">
      <c r="B22" s="53">
        <v>42655</v>
      </c>
      <c r="C22" s="46">
        <v>2008</v>
      </c>
      <c r="D22" s="46" t="s">
        <v>152</v>
      </c>
      <c r="E22" s="46">
        <v>43339</v>
      </c>
      <c r="F22" s="54">
        <v>38941</v>
      </c>
      <c r="G22" s="46">
        <v>2008</v>
      </c>
      <c r="H22" s="55">
        <v>7.9820094145526821E-2</v>
      </c>
      <c r="I22" s="46">
        <v>14</v>
      </c>
      <c r="J22" s="56">
        <f t="shared" si="0"/>
        <v>4.3338999999999999</v>
      </c>
      <c r="K22" s="46">
        <v>5</v>
      </c>
      <c r="L22" s="46">
        <v>1</v>
      </c>
      <c r="M22" s="46">
        <v>1</v>
      </c>
      <c r="N22" s="57">
        <f t="shared" si="1"/>
        <v>25.3339</v>
      </c>
      <c r="O22" s="58" t="s">
        <v>162</v>
      </c>
    </row>
    <row r="23" spans="2:15" x14ac:dyDescent="0.35">
      <c r="B23" s="53">
        <v>42667</v>
      </c>
      <c r="C23" s="46">
        <v>2008</v>
      </c>
      <c r="D23" s="46" t="s">
        <v>152</v>
      </c>
      <c r="E23" s="46">
        <v>43473</v>
      </c>
      <c r="F23" s="54">
        <v>33285</v>
      </c>
      <c r="G23" s="46">
        <v>2008</v>
      </c>
      <c r="H23" s="55">
        <v>6.8226594941934213E-2</v>
      </c>
      <c r="I23" s="46">
        <v>14</v>
      </c>
      <c r="J23" s="56">
        <f t="shared" si="0"/>
        <v>4.3472999999999997</v>
      </c>
      <c r="K23" s="46">
        <v>5</v>
      </c>
      <c r="L23" s="46">
        <v>1</v>
      </c>
      <c r="M23" s="46">
        <v>1</v>
      </c>
      <c r="N23" s="57">
        <f t="shared" si="1"/>
        <v>25.347300000000001</v>
      </c>
      <c r="O23" s="58" t="s">
        <v>162</v>
      </c>
    </row>
    <row r="24" spans="2:15" x14ac:dyDescent="0.35">
      <c r="B24" s="53">
        <v>42555</v>
      </c>
      <c r="C24" s="46">
        <v>2008</v>
      </c>
      <c r="D24" s="46" t="s">
        <v>152</v>
      </c>
      <c r="E24" s="46">
        <v>43981</v>
      </c>
      <c r="F24" s="54">
        <v>42520</v>
      </c>
      <c r="G24" s="46">
        <v>2008</v>
      </c>
      <c r="H24" s="55">
        <v>8.7156188871396839E-2</v>
      </c>
      <c r="I24" s="46">
        <v>14</v>
      </c>
      <c r="J24" s="56">
        <f t="shared" si="0"/>
        <v>4.3981000000000003</v>
      </c>
      <c r="K24" s="46">
        <v>5</v>
      </c>
      <c r="L24" s="46">
        <v>1</v>
      </c>
      <c r="M24" s="46">
        <v>1</v>
      </c>
      <c r="N24" s="57">
        <f t="shared" si="1"/>
        <v>25.398099999999999</v>
      </c>
      <c r="O24" s="58" t="s">
        <v>162</v>
      </c>
    </row>
    <row r="25" spans="2:15" x14ac:dyDescent="0.35">
      <c r="B25" s="53">
        <v>42558</v>
      </c>
      <c r="C25" s="46">
        <v>2008</v>
      </c>
      <c r="D25" s="46" t="s">
        <v>153</v>
      </c>
      <c r="E25" s="46">
        <v>44100</v>
      </c>
      <c r="F25" s="54">
        <v>25784</v>
      </c>
      <c r="G25" s="46">
        <v>2008</v>
      </c>
      <c r="H25" s="55">
        <v>5.2851250561149962E-2</v>
      </c>
      <c r="I25" s="46">
        <v>14</v>
      </c>
      <c r="J25" s="56">
        <f t="shared" si="0"/>
        <v>4.41</v>
      </c>
      <c r="K25" s="46">
        <v>5</v>
      </c>
      <c r="L25" s="46">
        <v>1</v>
      </c>
      <c r="M25" s="46">
        <v>1</v>
      </c>
      <c r="N25" s="57">
        <f t="shared" si="1"/>
        <v>25.41</v>
      </c>
      <c r="O25" s="58" t="s">
        <v>162</v>
      </c>
    </row>
    <row r="26" spans="2:15" x14ac:dyDescent="0.35">
      <c r="B26" s="53">
        <v>42561</v>
      </c>
      <c r="C26" s="46">
        <v>2008</v>
      </c>
      <c r="D26" s="46" t="s">
        <v>152</v>
      </c>
      <c r="E26" s="46">
        <v>45063</v>
      </c>
      <c r="F26" s="54">
        <v>49306</v>
      </c>
      <c r="G26" s="46">
        <v>2008</v>
      </c>
      <c r="H26" s="55">
        <v>0.10106592305957415</v>
      </c>
      <c r="I26" s="46">
        <v>14</v>
      </c>
      <c r="J26" s="56">
        <f t="shared" si="0"/>
        <v>4.5063000000000004</v>
      </c>
      <c r="K26" s="46">
        <v>5</v>
      </c>
      <c r="L26" s="46">
        <v>1</v>
      </c>
      <c r="M26" s="46">
        <v>1</v>
      </c>
      <c r="N26" s="57">
        <f t="shared" si="1"/>
        <v>25.5063</v>
      </c>
      <c r="O26" s="58" t="s">
        <v>162</v>
      </c>
    </row>
    <row r="27" spans="2:15" x14ac:dyDescent="0.35">
      <c r="B27" s="53">
        <v>42649</v>
      </c>
      <c r="C27" s="46">
        <v>2008</v>
      </c>
      <c r="D27" s="46" t="s">
        <v>152</v>
      </c>
      <c r="E27" s="46">
        <v>26102</v>
      </c>
      <c r="F27" s="54">
        <v>19012</v>
      </c>
      <c r="G27" s="46">
        <v>2008</v>
      </c>
      <c r="H27" s="55">
        <v>3.8970227520987034E-2</v>
      </c>
      <c r="I27" s="46">
        <v>14</v>
      </c>
      <c r="J27" s="56">
        <f t="shared" si="0"/>
        <v>2.6101999999999999</v>
      </c>
      <c r="K27" s="46">
        <v>5</v>
      </c>
      <c r="L27" s="46">
        <v>3</v>
      </c>
      <c r="M27" s="46">
        <v>1</v>
      </c>
      <c r="N27" s="57">
        <f t="shared" si="1"/>
        <v>25.610199999999999</v>
      </c>
      <c r="O27" s="58" t="s">
        <v>162</v>
      </c>
    </row>
    <row r="28" spans="2:15" x14ac:dyDescent="0.35">
      <c r="B28" s="53">
        <v>42666</v>
      </c>
      <c r="C28" s="46">
        <v>2008</v>
      </c>
      <c r="D28" s="46" t="s">
        <v>152</v>
      </c>
      <c r="E28" s="46">
        <v>36304</v>
      </c>
      <c r="F28" s="54">
        <v>19042</v>
      </c>
      <c r="G28" s="46">
        <v>2008</v>
      </c>
      <c r="H28" s="55">
        <v>3.9031720621430413E-2</v>
      </c>
      <c r="I28" s="46">
        <v>14</v>
      </c>
      <c r="J28" s="56">
        <f t="shared" si="0"/>
        <v>3.6303999999999998</v>
      </c>
      <c r="K28" s="46">
        <v>5</v>
      </c>
      <c r="L28" s="46">
        <v>2</v>
      </c>
      <c r="M28" s="46">
        <v>1</v>
      </c>
      <c r="N28" s="57">
        <f t="shared" si="1"/>
        <v>25.630400000000002</v>
      </c>
      <c r="O28" s="58" t="s">
        <v>162</v>
      </c>
    </row>
    <row r="29" spans="2:15" x14ac:dyDescent="0.35">
      <c r="B29" s="53">
        <v>42650</v>
      </c>
      <c r="C29" s="46">
        <v>2008</v>
      </c>
      <c r="D29" s="46" t="s">
        <v>152</v>
      </c>
      <c r="E29" s="46">
        <v>46305</v>
      </c>
      <c r="F29" s="54">
        <v>49788</v>
      </c>
      <c r="G29" s="46">
        <v>2008</v>
      </c>
      <c r="H29" s="55">
        <v>0.1020539494958396</v>
      </c>
      <c r="I29" s="46">
        <v>14</v>
      </c>
      <c r="J29" s="56">
        <f t="shared" si="0"/>
        <v>4.6304999999999996</v>
      </c>
      <c r="K29" s="46">
        <v>5</v>
      </c>
      <c r="L29" s="46">
        <v>1</v>
      </c>
      <c r="M29" s="46">
        <v>1</v>
      </c>
      <c r="N29" s="57">
        <f t="shared" si="1"/>
        <v>25.630499999999998</v>
      </c>
      <c r="O29" s="58" t="s">
        <v>162</v>
      </c>
    </row>
    <row r="30" spans="2:15" x14ac:dyDescent="0.35">
      <c r="B30" s="53">
        <v>42668</v>
      </c>
      <c r="C30" s="46">
        <v>2008</v>
      </c>
      <c r="D30" s="46" t="s">
        <v>152</v>
      </c>
      <c r="E30" s="46">
        <v>46887</v>
      </c>
      <c r="F30" s="54">
        <v>59371</v>
      </c>
      <c r="G30" s="46">
        <v>2008</v>
      </c>
      <c r="H30" s="55">
        <v>0.12169689554747112</v>
      </c>
      <c r="I30" s="46">
        <v>14</v>
      </c>
      <c r="J30" s="56">
        <f t="shared" si="0"/>
        <v>4.6886999999999999</v>
      </c>
      <c r="K30" s="46">
        <v>5</v>
      </c>
      <c r="L30" s="46">
        <v>1</v>
      </c>
      <c r="M30" s="46">
        <v>1</v>
      </c>
      <c r="N30" s="57">
        <f t="shared" si="1"/>
        <v>25.688700000000001</v>
      </c>
      <c r="O30" s="58" t="s">
        <v>162</v>
      </c>
    </row>
    <row r="31" spans="2:15" x14ac:dyDescent="0.35">
      <c r="B31" s="53">
        <v>42653</v>
      </c>
      <c r="C31" s="46">
        <v>2008</v>
      </c>
      <c r="D31" s="46" t="s">
        <v>152</v>
      </c>
      <c r="E31" s="46">
        <v>47505</v>
      </c>
      <c r="F31" s="54">
        <v>29772</v>
      </c>
      <c r="G31" s="46">
        <v>2008</v>
      </c>
      <c r="H31" s="55">
        <v>6.1025752880013988E-2</v>
      </c>
      <c r="I31" s="46">
        <v>14</v>
      </c>
      <c r="J31" s="56">
        <f t="shared" si="0"/>
        <v>4.7504999999999997</v>
      </c>
      <c r="K31" s="46">
        <v>5</v>
      </c>
      <c r="L31" s="46">
        <v>1</v>
      </c>
      <c r="M31" s="46">
        <v>1</v>
      </c>
      <c r="N31" s="57">
        <f t="shared" si="1"/>
        <v>25.750499999999999</v>
      </c>
      <c r="O31" s="58" t="s">
        <v>162</v>
      </c>
    </row>
    <row r="32" spans="2:15" x14ac:dyDescent="0.35">
      <c r="B32" s="53">
        <v>42766</v>
      </c>
      <c r="C32" s="46">
        <v>2009</v>
      </c>
      <c r="D32" s="46" t="s">
        <v>152</v>
      </c>
      <c r="E32" s="46">
        <v>48215</v>
      </c>
      <c r="F32" s="54">
        <v>39224</v>
      </c>
      <c r="G32" s="46">
        <v>2009</v>
      </c>
      <c r="H32" s="55">
        <v>7.2664076147150009E-2</v>
      </c>
      <c r="I32" s="46">
        <v>13</v>
      </c>
      <c r="J32" s="56">
        <f t="shared" si="0"/>
        <v>4.8215000000000003</v>
      </c>
      <c r="K32" s="46">
        <v>5</v>
      </c>
      <c r="L32" s="46">
        <v>2</v>
      </c>
      <c r="M32" s="46">
        <v>1</v>
      </c>
      <c r="N32" s="57">
        <f t="shared" si="1"/>
        <v>25.8215</v>
      </c>
      <c r="O32" s="58" t="s">
        <v>162</v>
      </c>
    </row>
    <row r="33" spans="2:15" x14ac:dyDescent="0.35">
      <c r="B33" s="53">
        <v>42670</v>
      </c>
      <c r="C33" s="46">
        <v>2008</v>
      </c>
      <c r="D33" s="46" t="s">
        <v>152</v>
      </c>
      <c r="E33" s="46">
        <v>49268</v>
      </c>
      <c r="F33" s="54">
        <v>88844</v>
      </c>
      <c r="G33" s="46">
        <v>2008</v>
      </c>
      <c r="H33" s="55">
        <v>0.18210976719306607</v>
      </c>
      <c r="I33" s="46">
        <v>14</v>
      </c>
      <c r="J33" s="56">
        <f t="shared" si="0"/>
        <v>4.9268000000000001</v>
      </c>
      <c r="K33" s="46">
        <v>5</v>
      </c>
      <c r="L33" s="46">
        <v>1</v>
      </c>
      <c r="M33" s="46">
        <v>1</v>
      </c>
      <c r="N33" s="57">
        <f t="shared" si="1"/>
        <v>25.9268</v>
      </c>
      <c r="O33" s="58" t="s">
        <v>162</v>
      </c>
    </row>
    <row r="34" spans="2:15" x14ac:dyDescent="0.35">
      <c r="B34" s="53">
        <v>42654</v>
      </c>
      <c r="C34" s="46">
        <v>2008</v>
      </c>
      <c r="D34" s="46" t="s">
        <v>152</v>
      </c>
      <c r="E34" s="46">
        <v>49787</v>
      </c>
      <c r="F34" s="54">
        <v>48328</v>
      </c>
      <c r="G34" s="46">
        <v>2008</v>
      </c>
      <c r="H34" s="55">
        <v>9.9061285274261585E-2</v>
      </c>
      <c r="I34" s="46">
        <v>14</v>
      </c>
      <c r="J34" s="56">
        <f t="shared" si="0"/>
        <v>4.9786999999999999</v>
      </c>
      <c r="K34" s="46">
        <v>5</v>
      </c>
      <c r="L34" s="46">
        <v>1</v>
      </c>
      <c r="M34" s="46">
        <v>1</v>
      </c>
      <c r="N34" s="57">
        <f t="shared" si="1"/>
        <v>25.9787</v>
      </c>
      <c r="O34" s="58" t="s">
        <v>162</v>
      </c>
    </row>
    <row r="35" spans="2:15" x14ac:dyDescent="0.35">
      <c r="B35" s="53">
        <v>42559</v>
      </c>
      <c r="C35" s="46">
        <v>2008</v>
      </c>
      <c r="D35" s="46" t="s">
        <v>152</v>
      </c>
      <c r="E35" s="46">
        <v>51192</v>
      </c>
      <c r="F35" s="54">
        <v>70062</v>
      </c>
      <c r="G35" s="46">
        <v>2008</v>
      </c>
      <c r="H35" s="55">
        <v>0.14361093378898884</v>
      </c>
      <c r="I35" s="46">
        <v>14</v>
      </c>
      <c r="J35" s="56">
        <f t="shared" si="0"/>
        <v>5.1192000000000002</v>
      </c>
      <c r="K35" s="46">
        <v>5</v>
      </c>
      <c r="L35" s="46">
        <v>1</v>
      </c>
      <c r="M35" s="46">
        <v>1</v>
      </c>
      <c r="N35" s="57">
        <f t="shared" si="1"/>
        <v>26.119199999999999</v>
      </c>
      <c r="O35" s="58" t="s">
        <v>162</v>
      </c>
    </row>
    <row r="36" spans="2:15" x14ac:dyDescent="0.35">
      <c r="B36" s="53">
        <v>42664</v>
      </c>
      <c r="C36" s="46">
        <v>2008</v>
      </c>
      <c r="D36" s="46" t="s">
        <v>152</v>
      </c>
      <c r="E36" s="46">
        <v>55373</v>
      </c>
      <c r="F36" s="54">
        <v>33480</v>
      </c>
      <c r="G36" s="46">
        <v>2008</v>
      </c>
      <c r="H36" s="55">
        <v>6.8626300094816212E-2</v>
      </c>
      <c r="I36" s="46">
        <v>14</v>
      </c>
      <c r="J36" s="56">
        <f t="shared" si="0"/>
        <v>5.5373000000000001</v>
      </c>
      <c r="K36" s="46">
        <v>5</v>
      </c>
      <c r="L36" s="46">
        <v>1</v>
      </c>
      <c r="M36" s="46">
        <v>1</v>
      </c>
      <c r="N36" s="57">
        <f t="shared" si="1"/>
        <v>26.537300000000002</v>
      </c>
      <c r="O36" s="58" t="s">
        <v>162</v>
      </c>
    </row>
    <row r="37" spans="2:15" x14ac:dyDescent="0.35">
      <c r="B37" s="53">
        <v>42658</v>
      </c>
      <c r="C37" s="46">
        <v>2008</v>
      </c>
      <c r="D37" s="46" t="s">
        <v>152</v>
      </c>
      <c r="E37" s="46">
        <v>45800</v>
      </c>
      <c r="F37" s="54">
        <v>28958</v>
      </c>
      <c r="G37" s="46">
        <v>2008</v>
      </c>
      <c r="H37" s="55">
        <v>5.9357240087983508E-2</v>
      </c>
      <c r="I37" s="46">
        <v>14</v>
      </c>
      <c r="J37" s="56">
        <f t="shared" si="0"/>
        <v>4.58</v>
      </c>
      <c r="K37" s="46">
        <v>5</v>
      </c>
      <c r="L37" s="46">
        <v>2</v>
      </c>
      <c r="M37" s="46">
        <v>1</v>
      </c>
      <c r="N37" s="57">
        <f t="shared" si="1"/>
        <v>26.58</v>
      </c>
      <c r="O37" s="58" t="s">
        <v>162</v>
      </c>
    </row>
    <row r="38" spans="2:15" x14ac:dyDescent="0.35">
      <c r="B38" s="53">
        <v>42316</v>
      </c>
      <c r="C38" s="46">
        <v>2005</v>
      </c>
      <c r="D38" s="46" t="s">
        <v>153</v>
      </c>
      <c r="E38" s="46">
        <v>16943</v>
      </c>
      <c r="F38" s="54">
        <v>32208</v>
      </c>
      <c r="G38" s="46">
        <v>2005</v>
      </c>
      <c r="H38" s="55">
        <v>7.9876702987899076E-2</v>
      </c>
      <c r="I38" s="46">
        <v>17</v>
      </c>
      <c r="J38" s="56">
        <f t="shared" si="0"/>
        <v>1.6942999999999999</v>
      </c>
      <c r="K38" s="46">
        <v>5</v>
      </c>
      <c r="L38" s="46">
        <v>2</v>
      </c>
      <c r="M38" s="46">
        <v>1</v>
      </c>
      <c r="N38" s="57">
        <f t="shared" si="1"/>
        <v>26.694299999999998</v>
      </c>
      <c r="O38" s="58" t="s">
        <v>162</v>
      </c>
    </row>
    <row r="39" spans="2:15" x14ac:dyDescent="0.35">
      <c r="B39" s="53">
        <v>42662</v>
      </c>
      <c r="C39" s="46">
        <v>2008</v>
      </c>
      <c r="D39" s="46" t="s">
        <v>152</v>
      </c>
      <c r="E39" s="46">
        <v>37999</v>
      </c>
      <c r="F39" s="54">
        <v>153209</v>
      </c>
      <c r="G39" s="46">
        <v>2008</v>
      </c>
      <c r="H39" s="55">
        <v>0.31404321419434578</v>
      </c>
      <c r="I39" s="46">
        <v>14</v>
      </c>
      <c r="J39" s="56">
        <f t="shared" si="0"/>
        <v>3.7999000000000001</v>
      </c>
      <c r="K39" s="46">
        <v>5</v>
      </c>
      <c r="L39" s="46">
        <v>2</v>
      </c>
      <c r="M39" s="46">
        <v>2</v>
      </c>
      <c r="N39" s="57">
        <f t="shared" si="1"/>
        <v>26.799900000000001</v>
      </c>
      <c r="O39" s="58" t="s">
        <v>162</v>
      </c>
    </row>
    <row r="40" spans="2:15" x14ac:dyDescent="0.35">
      <c r="B40" s="53">
        <v>42761</v>
      </c>
      <c r="C40" s="46">
        <v>2009</v>
      </c>
      <c r="D40" s="46" t="s">
        <v>152</v>
      </c>
      <c r="E40" s="46">
        <v>68722</v>
      </c>
      <c r="F40" s="54">
        <v>54116</v>
      </c>
      <c r="G40" s="46">
        <v>2009</v>
      </c>
      <c r="H40" s="55">
        <v>0.10025211974248342</v>
      </c>
      <c r="I40" s="46">
        <v>13</v>
      </c>
      <c r="J40" s="56">
        <f t="shared" si="0"/>
        <v>6.8722000000000003</v>
      </c>
      <c r="K40" s="46">
        <v>5</v>
      </c>
      <c r="L40" s="46">
        <v>1</v>
      </c>
      <c r="M40" s="46">
        <v>1</v>
      </c>
      <c r="N40" s="57">
        <f t="shared" si="1"/>
        <v>26.872199999999999</v>
      </c>
      <c r="O40" s="58" t="s">
        <v>162</v>
      </c>
    </row>
    <row r="41" spans="2:15" x14ac:dyDescent="0.35">
      <c r="B41" s="53">
        <v>42562</v>
      </c>
      <c r="C41" s="46">
        <v>2008</v>
      </c>
      <c r="D41" s="46" t="s">
        <v>152</v>
      </c>
      <c r="E41" s="46">
        <v>59338</v>
      </c>
      <c r="F41" s="54">
        <v>49166</v>
      </c>
      <c r="G41" s="46">
        <v>2008</v>
      </c>
      <c r="H41" s="55">
        <v>0.10077895536338423</v>
      </c>
      <c r="I41" s="46">
        <v>14</v>
      </c>
      <c r="J41" s="56">
        <f t="shared" si="0"/>
        <v>5.9337999999999997</v>
      </c>
      <c r="K41" s="46">
        <v>5</v>
      </c>
      <c r="L41" s="46">
        <v>1</v>
      </c>
      <c r="M41" s="46">
        <v>1</v>
      </c>
      <c r="N41" s="57">
        <f t="shared" si="1"/>
        <v>26.933799999999998</v>
      </c>
      <c r="O41" s="58" t="s">
        <v>162</v>
      </c>
    </row>
    <row r="42" spans="2:15" x14ac:dyDescent="0.35">
      <c r="B42" s="53">
        <v>42554</v>
      </c>
      <c r="C42" s="46">
        <v>2008</v>
      </c>
      <c r="D42" s="46" t="s">
        <v>152</v>
      </c>
      <c r="E42" s="46">
        <v>60316</v>
      </c>
      <c r="F42" s="54">
        <v>42723</v>
      </c>
      <c r="G42" s="46">
        <v>2008</v>
      </c>
      <c r="H42" s="55">
        <v>8.7572292030872231E-2</v>
      </c>
      <c r="I42" s="46">
        <v>14</v>
      </c>
      <c r="J42" s="56">
        <f t="shared" si="0"/>
        <v>6.0316000000000001</v>
      </c>
      <c r="K42" s="46">
        <v>5</v>
      </c>
      <c r="L42" s="46">
        <v>1</v>
      </c>
      <c r="M42" s="46">
        <v>1</v>
      </c>
      <c r="N42" s="57">
        <f t="shared" si="1"/>
        <v>27.031600000000001</v>
      </c>
      <c r="O42" s="58" t="s">
        <v>162</v>
      </c>
    </row>
    <row r="43" spans="2:15" x14ac:dyDescent="0.35">
      <c r="B43" s="53">
        <v>42648</v>
      </c>
      <c r="C43" s="46">
        <v>2008</v>
      </c>
      <c r="D43" s="46" t="s">
        <v>152</v>
      </c>
      <c r="E43" s="46">
        <v>52429</v>
      </c>
      <c r="F43" s="54">
        <v>35855</v>
      </c>
      <c r="G43" s="46">
        <v>2008</v>
      </c>
      <c r="H43" s="55">
        <v>6.6422862373163E-2</v>
      </c>
      <c r="I43" s="46">
        <v>14</v>
      </c>
      <c r="J43" s="56">
        <f t="shared" si="0"/>
        <v>5.2428999999999997</v>
      </c>
      <c r="K43" s="46">
        <v>5</v>
      </c>
      <c r="L43" s="46">
        <v>2</v>
      </c>
      <c r="M43" s="46">
        <v>1</v>
      </c>
      <c r="N43" s="57">
        <f t="shared" si="1"/>
        <v>27.242899999999999</v>
      </c>
      <c r="O43" s="58" t="s">
        <v>162</v>
      </c>
    </row>
    <row r="44" spans="2:15" x14ac:dyDescent="0.35">
      <c r="B44" s="53">
        <v>42563</v>
      </c>
      <c r="C44" s="46">
        <v>2008</v>
      </c>
      <c r="D44" s="46" t="s">
        <v>152</v>
      </c>
      <c r="E44" s="46">
        <v>52904</v>
      </c>
      <c r="F44" s="54">
        <v>46337</v>
      </c>
      <c r="G44" s="46">
        <v>2008</v>
      </c>
      <c r="H44" s="55">
        <v>9.498015813108926E-2</v>
      </c>
      <c r="I44" s="46">
        <v>14</v>
      </c>
      <c r="J44" s="56">
        <f t="shared" si="0"/>
        <v>5.2904</v>
      </c>
      <c r="K44" s="46">
        <v>5</v>
      </c>
      <c r="L44" s="46">
        <v>2</v>
      </c>
      <c r="M44" s="46">
        <v>1</v>
      </c>
      <c r="N44" s="57">
        <f t="shared" si="1"/>
        <v>27.290399999999998</v>
      </c>
      <c r="O44" s="58" t="s">
        <v>162</v>
      </c>
    </row>
    <row r="45" spans="2:15" x14ac:dyDescent="0.35">
      <c r="B45" s="53">
        <v>42323</v>
      </c>
      <c r="C45" s="46">
        <v>2005</v>
      </c>
      <c r="D45" s="46" t="s">
        <v>152</v>
      </c>
      <c r="E45" s="46">
        <v>33914</v>
      </c>
      <c r="F45" s="54">
        <v>25549</v>
      </c>
      <c r="G45" s="46">
        <v>2005</v>
      </c>
      <c r="H45" s="55">
        <v>6.3362204565258123E-2</v>
      </c>
      <c r="I45" s="46">
        <v>17</v>
      </c>
      <c r="J45" s="56">
        <f t="shared" si="0"/>
        <v>3.3914</v>
      </c>
      <c r="K45" s="46">
        <v>5</v>
      </c>
      <c r="L45" s="46">
        <v>1</v>
      </c>
      <c r="M45" s="46">
        <v>1</v>
      </c>
      <c r="N45" s="57">
        <f t="shared" si="1"/>
        <v>27.391400000000001</v>
      </c>
      <c r="O45" s="58" t="s">
        <v>162</v>
      </c>
    </row>
    <row r="46" spans="2:15" x14ac:dyDescent="0.35">
      <c r="B46" s="53">
        <v>42657</v>
      </c>
      <c r="C46" s="46">
        <v>2008</v>
      </c>
      <c r="D46" s="46" t="s">
        <v>152</v>
      </c>
      <c r="E46" s="46">
        <v>54088</v>
      </c>
      <c r="F46" s="54">
        <v>35450</v>
      </c>
      <c r="G46" s="46">
        <v>2008</v>
      </c>
      <c r="H46" s="55">
        <v>7.266434702393175E-2</v>
      </c>
      <c r="I46" s="46">
        <v>14</v>
      </c>
      <c r="J46" s="56">
        <f t="shared" si="0"/>
        <v>5.4088000000000003</v>
      </c>
      <c r="K46" s="46">
        <v>5</v>
      </c>
      <c r="L46" s="46">
        <v>2</v>
      </c>
      <c r="M46" s="46">
        <v>1</v>
      </c>
      <c r="N46" s="57">
        <f t="shared" si="1"/>
        <v>27.408799999999999</v>
      </c>
      <c r="O46" s="58" t="s">
        <v>162</v>
      </c>
    </row>
    <row r="47" spans="2:15" x14ac:dyDescent="0.35">
      <c r="B47" s="53">
        <v>42663</v>
      </c>
      <c r="C47" s="46">
        <v>2008</v>
      </c>
      <c r="D47" s="46" t="s">
        <v>152</v>
      </c>
      <c r="E47" s="46">
        <v>57606</v>
      </c>
      <c r="F47" s="54">
        <v>46841</v>
      </c>
      <c r="G47" s="46">
        <v>2008</v>
      </c>
      <c r="H47" s="55">
        <v>9.6013277262284535E-2</v>
      </c>
      <c r="I47" s="46">
        <v>14</v>
      </c>
      <c r="J47" s="56">
        <f t="shared" si="0"/>
        <v>5.7606000000000002</v>
      </c>
      <c r="K47" s="46">
        <v>5</v>
      </c>
      <c r="L47" s="46">
        <v>2</v>
      </c>
      <c r="M47" s="46">
        <v>1</v>
      </c>
      <c r="N47" s="57">
        <f t="shared" si="1"/>
        <v>27.7606</v>
      </c>
      <c r="O47" s="58" t="s">
        <v>162</v>
      </c>
    </row>
    <row r="48" spans="2:15" x14ac:dyDescent="0.35">
      <c r="B48" s="53">
        <v>42556</v>
      </c>
      <c r="C48" s="46">
        <v>2008</v>
      </c>
      <c r="D48" s="46" t="s">
        <v>152</v>
      </c>
      <c r="E48" s="46">
        <v>71090</v>
      </c>
      <c r="F48" s="54">
        <v>78564</v>
      </c>
      <c r="G48" s="46">
        <v>2008</v>
      </c>
      <c r="H48" s="55">
        <v>0.16103807202475121</v>
      </c>
      <c r="I48" s="46">
        <v>14</v>
      </c>
      <c r="J48" s="56">
        <f t="shared" si="0"/>
        <v>7.109</v>
      </c>
      <c r="K48" s="46">
        <v>5</v>
      </c>
      <c r="L48" s="46">
        <v>1</v>
      </c>
      <c r="M48" s="46">
        <v>1</v>
      </c>
      <c r="N48" s="57">
        <f t="shared" si="1"/>
        <v>28.109000000000002</v>
      </c>
      <c r="O48" s="58" t="s">
        <v>162</v>
      </c>
    </row>
    <row r="49" spans="2:15" x14ac:dyDescent="0.35">
      <c r="B49" s="53">
        <v>42321</v>
      </c>
      <c r="C49" s="46">
        <v>2005</v>
      </c>
      <c r="D49" s="46" t="s">
        <v>152</v>
      </c>
      <c r="E49" s="46">
        <v>46390</v>
      </c>
      <c r="F49" s="54">
        <v>52906</v>
      </c>
      <c r="G49" s="46">
        <v>2005</v>
      </c>
      <c r="H49" s="55">
        <v>0.13120829757444699</v>
      </c>
      <c r="I49" s="46">
        <v>17</v>
      </c>
      <c r="J49" s="56">
        <f t="shared" si="0"/>
        <v>4.6390000000000002</v>
      </c>
      <c r="K49" s="46">
        <v>5</v>
      </c>
      <c r="L49" s="46">
        <v>1</v>
      </c>
      <c r="M49" s="46">
        <v>1</v>
      </c>
      <c r="N49" s="57">
        <f t="shared" si="1"/>
        <v>28.638999999999999</v>
      </c>
      <c r="O49" s="58" t="s">
        <v>162</v>
      </c>
    </row>
    <row r="50" spans="2:15" x14ac:dyDescent="0.35">
      <c r="B50" s="53">
        <v>42564</v>
      </c>
      <c r="C50" s="46">
        <v>2008</v>
      </c>
      <c r="D50" s="46" t="s">
        <v>152</v>
      </c>
      <c r="E50" s="46">
        <v>78494</v>
      </c>
      <c r="F50" s="54">
        <v>57822</v>
      </c>
      <c r="G50" s="46">
        <v>2008</v>
      </c>
      <c r="H50" s="55">
        <v>0.11852175806495552</v>
      </c>
      <c r="I50" s="46">
        <v>14</v>
      </c>
      <c r="J50" s="56">
        <f t="shared" si="0"/>
        <v>7.8494000000000002</v>
      </c>
      <c r="K50" s="46">
        <v>5</v>
      </c>
      <c r="L50" s="46">
        <v>1</v>
      </c>
      <c r="M50" s="46">
        <v>1</v>
      </c>
      <c r="N50" s="57">
        <f t="shared" si="1"/>
        <v>28.849399999999999</v>
      </c>
      <c r="O50" s="58" t="s">
        <v>162</v>
      </c>
    </row>
    <row r="51" spans="2:15" x14ac:dyDescent="0.35">
      <c r="B51" s="53">
        <v>42320</v>
      </c>
      <c r="C51" s="46">
        <v>2005</v>
      </c>
      <c r="D51" s="46" t="s">
        <v>152</v>
      </c>
      <c r="E51" s="46">
        <v>50408</v>
      </c>
      <c r="F51" s="54">
        <v>27411</v>
      </c>
      <c r="G51" s="46">
        <v>2005</v>
      </c>
      <c r="H51" s="55">
        <v>6.7980014456076182E-2</v>
      </c>
      <c r="I51" s="46">
        <v>17</v>
      </c>
      <c r="J51" s="56">
        <f t="shared" si="0"/>
        <v>5.0407999999999999</v>
      </c>
      <c r="K51" s="46">
        <v>5</v>
      </c>
      <c r="L51" s="46">
        <v>1</v>
      </c>
      <c r="M51" s="46">
        <v>1</v>
      </c>
      <c r="N51" s="57">
        <f t="shared" si="1"/>
        <v>29.040800000000001</v>
      </c>
      <c r="O51" s="58" t="s">
        <v>162</v>
      </c>
    </row>
    <row r="52" spans="2:15" x14ac:dyDescent="0.35">
      <c r="B52" s="53">
        <v>42314</v>
      </c>
      <c r="C52" s="46">
        <v>2005</v>
      </c>
      <c r="D52" s="46" t="s">
        <v>152</v>
      </c>
      <c r="E52" s="46">
        <v>41923</v>
      </c>
      <c r="F52" s="54">
        <v>31246</v>
      </c>
      <c r="G52" s="46">
        <v>2005</v>
      </c>
      <c r="H52" s="55">
        <v>7.7490917211869556E-2</v>
      </c>
      <c r="I52" s="46">
        <v>17</v>
      </c>
      <c r="J52" s="56">
        <f t="shared" si="0"/>
        <v>4.1923000000000004</v>
      </c>
      <c r="K52" s="46">
        <v>5</v>
      </c>
      <c r="L52" s="46">
        <v>2</v>
      </c>
      <c r="M52" s="46">
        <v>1</v>
      </c>
      <c r="N52" s="57">
        <f t="shared" si="1"/>
        <v>29.192299999999999</v>
      </c>
      <c r="O52" s="58" t="s">
        <v>162</v>
      </c>
    </row>
    <row r="53" spans="2:15" x14ac:dyDescent="0.35">
      <c r="B53" s="53">
        <v>42329</v>
      </c>
      <c r="C53" s="46">
        <v>2005</v>
      </c>
      <c r="D53" s="46" t="s">
        <v>152</v>
      </c>
      <c r="E53" s="46">
        <v>44469</v>
      </c>
      <c r="F53" s="54">
        <v>26264</v>
      </c>
      <c r="G53" s="46">
        <v>2005</v>
      </c>
      <c r="H53" s="55">
        <v>6.5135423723117897E-2</v>
      </c>
      <c r="I53" s="46">
        <v>17</v>
      </c>
      <c r="J53" s="56">
        <f t="shared" si="0"/>
        <v>4.4469000000000003</v>
      </c>
      <c r="K53" s="46">
        <v>5</v>
      </c>
      <c r="L53" s="46">
        <v>2</v>
      </c>
      <c r="M53" s="46">
        <v>1</v>
      </c>
      <c r="N53" s="57">
        <f t="shared" si="1"/>
        <v>29.446899999999999</v>
      </c>
      <c r="O53" s="58" t="s">
        <v>162</v>
      </c>
    </row>
    <row r="54" spans="2:15" x14ac:dyDescent="0.35">
      <c r="B54" s="53">
        <v>42325</v>
      </c>
      <c r="C54" s="46">
        <v>2005</v>
      </c>
      <c r="D54" s="46" t="s">
        <v>152</v>
      </c>
      <c r="E54" s="46">
        <v>54991</v>
      </c>
      <c r="F54" s="54">
        <v>49383</v>
      </c>
      <c r="G54" s="46">
        <v>2005</v>
      </c>
      <c r="H54" s="55">
        <v>0.12247116317844697</v>
      </c>
      <c r="I54" s="46">
        <v>17</v>
      </c>
      <c r="J54" s="56">
        <f t="shared" si="0"/>
        <v>5.4991000000000003</v>
      </c>
      <c r="K54" s="46">
        <v>5</v>
      </c>
      <c r="L54" s="46">
        <v>1</v>
      </c>
      <c r="M54" s="46">
        <v>1</v>
      </c>
      <c r="N54" s="57">
        <f t="shared" si="1"/>
        <v>29.499099999999999</v>
      </c>
      <c r="O54" s="58" t="s">
        <v>162</v>
      </c>
    </row>
    <row r="55" spans="2:15" x14ac:dyDescent="0.35">
      <c r="B55" s="53">
        <v>42274</v>
      </c>
      <c r="C55" s="46">
        <v>2005</v>
      </c>
      <c r="D55" s="46" t="s">
        <v>152</v>
      </c>
      <c r="E55" s="46">
        <v>56405</v>
      </c>
      <c r="F55" s="54">
        <v>38639</v>
      </c>
      <c r="G55" s="46">
        <v>2005</v>
      </c>
      <c r="H55" s="55">
        <v>9.5825755301460272E-2</v>
      </c>
      <c r="I55" s="46">
        <v>17</v>
      </c>
      <c r="J55" s="56">
        <f t="shared" si="0"/>
        <v>5.6405000000000003</v>
      </c>
      <c r="K55" s="46">
        <v>5</v>
      </c>
      <c r="L55" s="46">
        <v>1</v>
      </c>
      <c r="M55" s="46">
        <v>1</v>
      </c>
      <c r="N55" s="57">
        <f t="shared" si="1"/>
        <v>29.640499999999999</v>
      </c>
      <c r="O55" s="58" t="s">
        <v>162</v>
      </c>
    </row>
    <row r="56" spans="2:15" x14ac:dyDescent="0.35">
      <c r="B56" s="53">
        <v>42328</v>
      </c>
      <c r="C56" s="46">
        <v>2005</v>
      </c>
      <c r="D56" s="46" t="s">
        <v>152</v>
      </c>
      <c r="E56" s="46">
        <v>43042</v>
      </c>
      <c r="F56" s="54">
        <v>96217</v>
      </c>
      <c r="G56" s="46">
        <v>2005</v>
      </c>
      <c r="H56" s="55">
        <v>0.23862073805845396</v>
      </c>
      <c r="I56" s="46">
        <v>17</v>
      </c>
      <c r="J56" s="56">
        <f t="shared" si="0"/>
        <v>4.3041999999999998</v>
      </c>
      <c r="K56" s="46">
        <v>5</v>
      </c>
      <c r="L56" s="46">
        <v>2</v>
      </c>
      <c r="M56" s="46">
        <v>2</v>
      </c>
      <c r="N56" s="57">
        <f t="shared" si="1"/>
        <v>30.304200000000002</v>
      </c>
      <c r="O56" s="58" t="s">
        <v>162</v>
      </c>
    </row>
    <row r="57" spans="2:15" x14ac:dyDescent="0.35">
      <c r="B57" s="53">
        <v>42326</v>
      </c>
      <c r="C57" s="46">
        <v>2005</v>
      </c>
      <c r="D57" s="46" t="s">
        <v>152</v>
      </c>
      <c r="E57" s="46">
        <v>55729</v>
      </c>
      <c r="F57" s="54">
        <v>117895</v>
      </c>
      <c r="G57" s="46">
        <v>2005</v>
      </c>
      <c r="H57" s="55">
        <v>0.29238275890332716</v>
      </c>
      <c r="I57" s="46">
        <v>17</v>
      </c>
      <c r="J57" s="56">
        <f t="shared" si="0"/>
        <v>5.5728999999999997</v>
      </c>
      <c r="K57" s="46">
        <v>5</v>
      </c>
      <c r="L57" s="46">
        <v>1</v>
      </c>
      <c r="M57" s="46">
        <v>2</v>
      </c>
      <c r="N57" s="57">
        <f t="shared" si="1"/>
        <v>30.572900000000001</v>
      </c>
      <c r="O57" s="58" t="s">
        <v>162</v>
      </c>
    </row>
    <row r="58" spans="2:15" x14ac:dyDescent="0.35">
      <c r="B58" s="53">
        <v>42322</v>
      </c>
      <c r="C58" s="46">
        <v>2005</v>
      </c>
      <c r="D58" s="46" t="s">
        <v>152</v>
      </c>
      <c r="E58" s="46">
        <v>59179</v>
      </c>
      <c r="F58" s="54">
        <v>33479</v>
      </c>
      <c r="G58" s="46">
        <v>2005</v>
      </c>
      <c r="H58" s="55">
        <v>8.3028817043339337E-2</v>
      </c>
      <c r="I58" s="46">
        <v>17</v>
      </c>
      <c r="J58" s="56">
        <f t="shared" si="0"/>
        <v>5.9179000000000004</v>
      </c>
      <c r="K58" s="46">
        <v>5</v>
      </c>
      <c r="L58" s="46">
        <v>2</v>
      </c>
      <c r="M58" s="46">
        <v>1</v>
      </c>
      <c r="N58" s="57">
        <f t="shared" si="1"/>
        <v>30.917899999999999</v>
      </c>
      <c r="O58" s="58" t="s">
        <v>162</v>
      </c>
    </row>
    <row r="59" spans="2:15" x14ac:dyDescent="0.35">
      <c r="B59" s="53">
        <v>42315</v>
      </c>
      <c r="C59" s="46">
        <v>2005</v>
      </c>
      <c r="D59" s="46" t="s">
        <v>152</v>
      </c>
      <c r="E59" s="46">
        <v>59984</v>
      </c>
      <c r="F59" s="54">
        <v>27224</v>
      </c>
      <c r="G59" s="46">
        <v>2005</v>
      </c>
      <c r="H59" s="55">
        <v>6.7516249445559007E-2</v>
      </c>
      <c r="I59" s="46">
        <v>17</v>
      </c>
      <c r="J59" s="56">
        <f t="shared" si="0"/>
        <v>5.9984000000000002</v>
      </c>
      <c r="K59" s="46">
        <v>5</v>
      </c>
      <c r="L59" s="46">
        <v>2</v>
      </c>
      <c r="M59" s="46">
        <v>1</v>
      </c>
      <c r="N59" s="57">
        <f t="shared" si="1"/>
        <v>30.9984</v>
      </c>
      <c r="O59" s="58" t="s">
        <v>162</v>
      </c>
    </row>
    <row r="60" spans="2:15" x14ac:dyDescent="0.35">
      <c r="B60" s="53">
        <v>42311</v>
      </c>
      <c r="C60" s="46">
        <v>2005</v>
      </c>
      <c r="D60" s="46" t="s">
        <v>152</v>
      </c>
      <c r="E60" s="46">
        <v>66588</v>
      </c>
      <c r="F60" s="54">
        <v>39480</v>
      </c>
      <c r="G60" s="46">
        <v>2005</v>
      </c>
      <c r="H60" s="55">
        <v>9.7911457835390445E-2</v>
      </c>
      <c r="I60" s="46">
        <v>17</v>
      </c>
      <c r="J60" s="56">
        <f t="shared" si="0"/>
        <v>6.6588000000000003</v>
      </c>
      <c r="K60" s="46">
        <v>5</v>
      </c>
      <c r="L60" s="46">
        <v>2</v>
      </c>
      <c r="M60" s="46">
        <v>1</v>
      </c>
      <c r="N60" s="57">
        <f t="shared" si="1"/>
        <v>31.658799999999999</v>
      </c>
      <c r="O60" s="58" t="s">
        <v>162</v>
      </c>
    </row>
    <row r="61" spans="2:15" x14ac:dyDescent="0.35">
      <c r="B61" s="53">
        <v>42324</v>
      </c>
      <c r="C61" s="46">
        <v>2005</v>
      </c>
      <c r="D61" s="46" t="s">
        <v>152</v>
      </c>
      <c r="E61" s="46">
        <v>71433</v>
      </c>
      <c r="F61" s="54">
        <v>19627</v>
      </c>
      <c r="G61" s="46">
        <v>2005</v>
      </c>
      <c r="H61" s="55">
        <v>4.8675485889949556E-2</v>
      </c>
      <c r="I61" s="46">
        <v>17</v>
      </c>
      <c r="J61" s="56">
        <f t="shared" si="0"/>
        <v>7.1433</v>
      </c>
      <c r="K61" s="46">
        <v>5</v>
      </c>
      <c r="L61" s="46">
        <v>2</v>
      </c>
      <c r="M61" s="46">
        <v>1</v>
      </c>
      <c r="N61" s="57">
        <f t="shared" si="1"/>
        <v>32.143299999999996</v>
      </c>
      <c r="O61" s="58" t="s">
        <v>162</v>
      </c>
    </row>
    <row r="62" spans="2:15" x14ac:dyDescent="0.35">
      <c r="B62" s="53">
        <v>42310</v>
      </c>
      <c r="C62" s="46">
        <v>2005</v>
      </c>
      <c r="D62" s="46" t="s">
        <v>152</v>
      </c>
      <c r="E62" s="46">
        <v>72859</v>
      </c>
      <c r="F62" s="54">
        <v>27130</v>
      </c>
      <c r="G62" s="46">
        <v>2005</v>
      </c>
      <c r="H62" s="55">
        <v>6.7283126926903317E-2</v>
      </c>
      <c r="I62" s="46">
        <v>17</v>
      </c>
      <c r="J62" s="56">
        <f t="shared" si="0"/>
        <v>7.2858999999999998</v>
      </c>
      <c r="K62" s="46">
        <v>5</v>
      </c>
      <c r="L62" s="46">
        <v>2</v>
      </c>
      <c r="M62" s="46">
        <v>1</v>
      </c>
      <c r="N62" s="57">
        <f t="shared" si="1"/>
        <v>32.285899999999998</v>
      </c>
      <c r="O62" s="58" t="s">
        <v>162</v>
      </c>
    </row>
    <row r="63" spans="2:15" x14ac:dyDescent="0.35">
      <c r="B63" s="53">
        <v>42319</v>
      </c>
      <c r="C63" s="46">
        <v>2005</v>
      </c>
      <c r="D63" s="46" t="s">
        <v>152</v>
      </c>
      <c r="E63" s="46">
        <v>86809</v>
      </c>
      <c r="F63" s="54">
        <v>54732</v>
      </c>
      <c r="G63" s="46">
        <v>2005</v>
      </c>
      <c r="H63" s="55">
        <v>0.13573682650067351</v>
      </c>
      <c r="I63" s="46">
        <v>17</v>
      </c>
      <c r="J63" s="56">
        <f t="shared" si="0"/>
        <v>8.6808999999999994</v>
      </c>
      <c r="K63" s="46">
        <v>5</v>
      </c>
      <c r="L63" s="46">
        <v>2</v>
      </c>
      <c r="M63" s="46">
        <v>1</v>
      </c>
      <c r="N63" s="57">
        <f t="shared" si="1"/>
        <v>33.680900000000001</v>
      </c>
      <c r="O63" s="58" t="s">
        <v>162</v>
      </c>
    </row>
    <row r="64" spans="2:15" ht="15" thickBot="1" x14ac:dyDescent="0.4">
      <c r="B64" s="59">
        <v>42327</v>
      </c>
      <c r="C64" s="60">
        <v>2005</v>
      </c>
      <c r="D64" s="60" t="s">
        <v>152</v>
      </c>
      <c r="E64" s="60">
        <v>96972</v>
      </c>
      <c r="F64" s="61">
        <v>43110</v>
      </c>
      <c r="G64" s="60">
        <v>2005</v>
      </c>
      <c r="H64" s="62">
        <v>0.10691395509837089</v>
      </c>
      <c r="I64" s="60">
        <v>17</v>
      </c>
      <c r="J64" s="63">
        <f t="shared" si="0"/>
        <v>9.6972000000000005</v>
      </c>
      <c r="K64" s="60">
        <v>5</v>
      </c>
      <c r="L64" s="60">
        <v>1</v>
      </c>
      <c r="M64" s="60">
        <v>1</v>
      </c>
      <c r="N64" s="64">
        <f t="shared" si="1"/>
        <v>33.697200000000002</v>
      </c>
      <c r="O64" s="65" t="s">
        <v>162</v>
      </c>
    </row>
    <row r="65" spans="2:13" x14ac:dyDescent="0.35">
      <c r="B65" t="s">
        <v>31</v>
      </c>
      <c r="I65">
        <f>SUM(I2:I64)</f>
        <v>903</v>
      </c>
      <c r="J65" s="12">
        <f t="shared" ref="J65:M65" si="2">SUM(J2:J64)</f>
        <v>291.80660000000012</v>
      </c>
      <c r="K65" s="11">
        <f t="shared" si="2"/>
        <v>310</v>
      </c>
      <c r="L65" s="11">
        <f t="shared" si="2"/>
        <v>92</v>
      </c>
      <c r="M65" s="11">
        <f t="shared" si="2"/>
        <v>65</v>
      </c>
    </row>
    <row r="66" spans="2:13" x14ac:dyDescent="0.35">
      <c r="B66" t="s">
        <v>164</v>
      </c>
      <c r="I66" s="17">
        <f>I65/SUM($I$65:$M$65)</f>
        <v>0.54338453102785844</v>
      </c>
      <c r="J66" s="17">
        <f t="shared" ref="J66:M66" si="3">J65/SUM($I$65:$M$65)</f>
        <v>0.17559600497434544</v>
      </c>
      <c r="K66" s="17">
        <f t="shared" si="3"/>
        <v>0.18654396967733788</v>
      </c>
      <c r="L66" s="17">
        <f t="shared" si="3"/>
        <v>5.5361436162306731E-2</v>
      </c>
      <c r="M66" s="17">
        <f t="shared" si="3"/>
        <v>3.9114058158151492E-2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fin_analýza</vt:lpstr>
      <vt:lpstr>vstupné údaje</vt:lpstr>
      <vt:lpstr>servis podľa veku_bez scanie</vt:lpstr>
      <vt:lpstr>servis podľa rokov_bez scanie</vt:lpstr>
      <vt:lpstr>prehľad vozidiel</vt:lpstr>
      <vt:lpstr>struktura vyjazdy_analyza dopyt</vt:lpstr>
      <vt:lpstr>bodovací systém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Oliver.Tomecko@minv.sk</dc:creator>
  <cp:lastModifiedBy>Oliver Tomečko</cp:lastModifiedBy>
  <dcterms:created xsi:type="dcterms:W3CDTF">2022-09-28T08:22:26Z</dcterms:created>
  <dcterms:modified xsi:type="dcterms:W3CDTF">2023-03-14T13:04:47Z</dcterms:modified>
</cp:coreProperties>
</file>